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kE0PotPtpBggevMF+hknumTqMcUu+QWBTElshlXTwGSDtNyVQP5NTHmBnNgKUzL0bSbGJ7uaoYYXqwvk7PgNg==" workbookSaltValue="xF3m5wxL1wypWBO6bGoW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J9"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<sst xmlns="http://schemas.openxmlformats.org/spreadsheetml/2006/main" count="2527" uniqueCount="1026">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</sst>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Q6USz/kSVMZhCKw2bxMq6dBwvhN0IPfhxNHEYJRJXdFoZSq9o9Xc/Qrbd9R1MYAouX0+xNcGCE8Xdpf2uvtcQ==" saltValue="48w7hsu/E9LmNmQhVAnct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51.903765690376574</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185</v>
      </c>
      <c r="D10" s="224">
        <f>IF(ISNUMBER(Datos!I10),Datos!I10," - ")</f>
        <v>185</v>
      </c>
      <c r="E10" s="225">
        <f>IF(ISNUMBER(Datos!J10),Datos!J10," - ")</f>
        <v>47</v>
      </c>
      <c r="F10" s="225">
        <f>IF(ISNUMBER(Datos!K10),Datos!K10," - ")</f>
        <v>53</v>
      </c>
      <c r="G10" s="1029" t="str">
        <f>IF(Datos!E10&lt;&gt;"",Datos!E10,Datos!D10)</f>
        <v>37</v>
      </c>
      <c r="H10" s="226">
        <f>IF(ISNUMBER(Datos!L10),Datos!L10," - ")</f>
        <v>179</v>
      </c>
      <c r="I10" s="1039" t="str">
        <f>IF(ISNUMBER(Datos!AS10/Datos!BM10),Datos!AS10/Datos!BM10," - ")</f>
        <v xml:space="preserve"> - </v>
      </c>
      <c r="J10" s="1040">
        <f>IF(ISNUMBER(Datos!BY10/Datos!CN10),Datos!BY10/Datos!CN10," - ")</f>
        <v>0</v>
      </c>
      <c r="K10" s="229">
        <f t="shared" ref="K10:K12" si="1">IF(ISNUMBER((E10-F10)/C10),(E10-F10)/C10," - ")</f>
        <v>-3.2432432432432434E-2</v>
      </c>
      <c r="L10" s="1020">
        <f>IF(ISNUMBER(NºAsuntos!I10/NºAsuntos!G10),(NºAsuntos!I10/NºAsuntos!G10)*11," - ")</f>
        <v>37.150943396226417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185</v>
      </c>
      <c r="D13" s="1044">
        <f>SUBTOTAL(9,D9:D12)</f>
        <v>185</v>
      </c>
      <c r="E13" s="1045">
        <f>SUBTOTAL(9,E9:E12)</f>
        <v>47</v>
      </c>
      <c r="F13" s="1046">
        <f>SUBTOTAL(9,F9:F12)</f>
        <v>53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3422</v>
      </c>
      <c r="D15" s="224">
        <f>IF(ISNUMBER(IF(D_I="SI",Datos!I15,Datos!I15+Datos!AC15)),IF(D_I="SI",Datos!I15,Datos!I15+Datos!AC15)," - ")</f>
        <v>3388</v>
      </c>
      <c r="E15" s="225">
        <f>IF(ISNUMBER(IF(D_I="SI",Datos!J15,Datos!J15+Datos!AD15)),IF(D_I="SI",Datos!J15,Datos!J15+Datos!AD15)," - ")</f>
        <v>2271</v>
      </c>
      <c r="F15" s="225">
        <f>IF(ISNUMBER(IF(D_I="SI",Datos!K15,Datos!K15+Datos!AE15)),IF(D_I="SI",Datos!K15,Datos!K15+Datos!AE15)," - ")</f>
        <v>2391</v>
      </c>
      <c r="G15" s="1029" t="str">
        <f>IF(Datos!E15&lt;&gt;"",Datos!E15,Datos!D15)</f>
        <v>03</v>
      </c>
      <c r="H15" s="226">
        <f>IF(ISNUMBER(IF(D_I="SI",Datos!L15,Datos!L15+Datos!AF15)),IF(D_I="SI",Datos!L15,Datos!L15+Datos!AF15)," - ")</f>
        <v>3302</v>
      </c>
      <c r="I15" s="1039" t="str">
        <f>IF(ISNUMBER(Datos!AS15/Datos!BM15),Datos!AS15/Datos!BM15," - ")</f>
        <v xml:space="preserve"> - </v>
      </c>
      <c r="J15" s="1040">
        <f>IF(ISNUMBER(Datos!BY15/Datos!CN15),Datos!BY15/Datos!CN15," - ")</f>
        <v>0</v>
      </c>
      <c r="K15" s="229">
        <f t="shared" ref="K15:K18" si="3">IF(ISNUMBER((E15-F15)/C15),(E15-F15)/C15," - ")</f>
        <v>-3.5067212156633547E-2</v>
      </c>
      <c r="L15" s="1020">
        <f>IF(ISNUMBER(NºAsuntos!I15/NºAsuntos!G15),(NºAsuntos!I15/NºAsuntos!G15)*11," - ")</f>
        <v>15.191133416980342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331</v>
      </c>
      <c r="D18" s="224">
        <f>IF(ISNUMBER(IF(D_I="SI",Datos!I18,Datos!I18+Datos!AC18)),IF(D_I="SI",Datos!I18,Datos!I18+Datos!AC18)," - ")</f>
        <v>329</v>
      </c>
      <c r="E18" s="225">
        <f>IF(ISNUMBER(IF(D_I="SI",Datos!J18,Datos!J18+Datos!AD18)),IF(D_I="SI",Datos!J18,Datos!J18+Datos!AD18)," - ")</f>
        <v>393</v>
      </c>
      <c r="F18" s="225">
        <f>IF(ISNUMBER(IF(D_I="SI",Datos!K18,Datos!K18+Datos!AE18)),IF(D_I="SI",Datos!K18,Datos!K18+Datos!AE18)," - ")</f>
        <v>384</v>
      </c>
      <c r="G18" s="1029" t="str">
        <f>IF(Datos!E18&lt;&gt;"",Datos!E18,Datos!D18)</f>
        <v>37</v>
      </c>
      <c r="H18" s="226">
        <f>IF(ISNUMBER(IF(D_I="SI",Datos!L18,Datos!L18+Datos!AF18)),IF(D_I="SI",Datos!L18,Datos!L18+Datos!AF18)," - ")</f>
        <v>340</v>
      </c>
      <c r="I18" s="1039" t="str">
        <f>IF(ISNUMBER(Datos!AS18/Datos!BM18),Datos!AS18/Datos!BM18," - ")</f>
        <v xml:space="preserve"> - </v>
      </c>
      <c r="J18" s="1040" t="str">
        <f>IF(ISNUMBER((Datos!BY18+Datos!BZ18)/Datos!CN18),(Datos!BY18+Datos!BZ18)/Datos!CN18," - ")</f>
        <v xml:space="preserve"> - </v>
      </c>
      <c r="K18" s="229">
        <f t="shared" si="3"/>
        <v>2.7190332326283987E-2</v>
      </c>
      <c r="L18" s="1020">
        <f>IF(ISNUMBER(NºAsuntos!I18/NºAsuntos!G18),(NºAsuntos!I18/NºAsuntos!G18)*11," - ")</f>
        <v>9.7395833333333321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3753</v>
      </c>
      <c r="D19" s="1044">
        <f>SUBTOTAL(9,D15:D18)</f>
        <v>3717</v>
      </c>
      <c r="E19" s="1045">
        <f>SUBTOTAL(9,E15:E18)</f>
        <v>2664</v>
      </c>
      <c r="F19" s="1045">
        <f>SUBTOTAL(9,F15:F18)</f>
        <v>2775</v>
      </c>
      <c r="G19" s="1047" t="str">
        <f ca="1">INDIRECT(CONCATENATE("G",ROW()-1))</f>
        <v>37</v>
      </c>
      <c r="H19" s="1048">
        <f ca="1">SUMIF(G$14:G18,G19,H$14:H18)</f>
        <v>340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3938</v>
      </c>
      <c r="D20" s="1066">
        <f>SUBTOTAL(9,D9:D19)</f>
        <v>3902</v>
      </c>
      <c r="E20" s="1067">
        <f>SUBTOTAL(9,E9:E19)</f>
        <v>2711</v>
      </c>
      <c r="F20" s="1067">
        <f>SUBTOTAL(9,F9:F19)</f>
        <v>2828</v>
      </c>
      <c r="G20" s="1068"/>
      <c r="H20" s="1069">
        <f ca="1">SUMIF(B9:B19,"TOTAL",H9:H19)</f>
        <v>340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s9ydM23Nc/qfdODvFUHvKFxLikD9qkgK8aD2UDPKP7YMpoOMoqIIgxfJsf25fwHgKwkRe7r6gt4LKLpThq52g==" saltValue="xDTRuaC8tT2OIQAjf1iEW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mqnTpK0iAdWq7/seM/2zs6tKN8za+Gm8zFzlor/b2Fc2xgYwqJQdvBwpaqqlywwu/OI9T+67TbcifPb4fRA+A==" saltValue="+TXYL++3YWpoDuKhBr8r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11937</v>
      </c>
      <c r="J9" s="180">
        <v>2600</v>
      </c>
      <c r="K9" s="180">
        <v>2397</v>
      </c>
      <c r="L9" s="180">
        <v>12047</v>
      </c>
      <c r="M9" s="180">
        <v>694</v>
      </c>
      <c r="N9" s="180">
        <v>978</v>
      </c>
      <c r="O9" s="180">
        <v>1392</v>
      </c>
      <c r="P9" s="180">
        <v>745</v>
      </c>
      <c r="Q9" s="180">
        <v>683</v>
      </c>
      <c r="R9" s="180">
        <v>15661</v>
      </c>
      <c r="S9" s="180">
        <v>12500</v>
      </c>
      <c r="T9" s="180">
        <v>5128</v>
      </c>
      <c r="U9" s="180">
        <v>3506</v>
      </c>
      <c r="V9" s="180">
        <v>14048</v>
      </c>
      <c r="W9" s="180">
        <v>776</v>
      </c>
      <c r="X9" s="187">
        <v>1437</v>
      </c>
      <c r="Y9" s="190">
        <v>339</v>
      </c>
      <c r="Z9" s="180">
        <v>239</v>
      </c>
      <c r="AA9" s="180">
        <v>232</v>
      </c>
      <c r="AB9" s="180">
        <v>358</v>
      </c>
      <c r="AC9" s="180">
        <v>0</v>
      </c>
      <c r="AD9" s="180">
        <v>0</v>
      </c>
      <c r="AE9" s="180">
        <v>0</v>
      </c>
      <c r="AF9" s="187">
        <v>0</v>
      </c>
      <c r="AG9" s="190">
        <v>277</v>
      </c>
      <c r="AH9" s="180">
        <v>234</v>
      </c>
      <c r="AI9" s="180">
        <v>219</v>
      </c>
      <c r="AJ9" s="191">
        <v>273</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12777</v>
      </c>
      <c r="AZ9" s="123">
        <f>IF(ISNUMBER(IF(J_V="SI",T9,T9+AH9)),IF(J_V="SI",T9,T9+AH9)," - ")</f>
        <v>5362</v>
      </c>
      <c r="BA9" s="124">
        <f>IF(ISNUMBER(IF(J_V="SI",U9,U9+AI9)),IF(J_V="SI",U9,U9+AI9)," - ")</f>
        <v>3725</v>
      </c>
      <c r="BB9" s="124">
        <f>IF(ISNUMBER(IF(J_V="SI",V9,V9+AJ9)),IF(J_V="SI",V9,V9+AJ9)," - ")</f>
        <v>14321</v>
      </c>
      <c r="BC9" s="125">
        <f>IF(ISNUMBER(X9),X9," - ")</f>
        <v>1437</v>
      </c>
      <c r="BD9" s="126">
        <f>IF(ISNUMBER(BA9/AZ9),BA9/AZ9," - ")</f>
        <v>0.69470346885490486</v>
      </c>
      <c r="BE9" s="127">
        <f>IF(ISNUMBER(BB9/BA9),BB9/BA9, " - ")</f>
        <v>3.8445637583892616</v>
      </c>
      <c r="BF9" s="127">
        <f>IF(ISNUMBER(BC9/BA9),BC9/BA9, " - ")</f>
        <v>0.3857718120805369</v>
      </c>
      <c r="BG9" s="195">
        <f>IF(ISNUMBER((AY9+AZ9)/BA9),(AY9+AZ9)/BA9," - ")</f>
        <v>4.8695302013422817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185</v>
      </c>
      <c r="J10" s="180">
        <v>47</v>
      </c>
      <c r="K10" s="180">
        <v>53</v>
      </c>
      <c r="L10" s="180">
        <v>179</v>
      </c>
      <c r="M10" s="180">
        <v>19</v>
      </c>
      <c r="N10" s="180">
        <v>16</v>
      </c>
      <c r="O10" s="180">
        <v>15</v>
      </c>
      <c r="P10" s="180">
        <v>12</v>
      </c>
      <c r="Q10" s="180">
        <v>3</v>
      </c>
      <c r="R10" s="180">
        <v>155</v>
      </c>
      <c r="S10" s="180">
        <v>195</v>
      </c>
      <c r="T10" s="180">
        <v>58</v>
      </c>
      <c r="U10" s="180">
        <v>52</v>
      </c>
      <c r="V10" s="180">
        <v>201</v>
      </c>
      <c r="W10" s="180">
        <v>26</v>
      </c>
      <c r="X10" s="187">
        <v>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195</v>
      </c>
      <c r="AZ10" s="129">
        <f t="shared" si="0"/>
        <v>58</v>
      </c>
      <c r="BA10" s="129">
        <f t="shared" si="0"/>
        <v>52</v>
      </c>
      <c r="BB10" s="129">
        <f t="shared" si="0"/>
        <v>201</v>
      </c>
      <c r="BC10" s="125">
        <f t="shared" si="0"/>
        <v>26</v>
      </c>
      <c r="BD10" s="126">
        <f>IF(ISNUMBER(BA10/AZ10),BA10/AZ10," - ")</f>
        <v>0.89655172413793105</v>
      </c>
      <c r="BE10" s="127">
        <f>IF(ISNUMBER(BB10/BA10),BB10/BA10, " - ")</f>
        <v>3.8653846153846154</v>
      </c>
      <c r="BF10" s="127">
        <f>IF(ISNUMBER(BC10/BA10),BC10/BA10, " - ")</f>
        <v>0.5</v>
      </c>
      <c r="BG10" s="195">
        <f>IF(ISNUMBER((AY10+AZ10)/BA10),(AY10+AZ10)/BA10," - ")</f>
        <v>4.865384615384615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12122</v>
      </c>
      <c r="J13" s="183">
        <f t="shared" si="6"/>
        <v>2647</v>
      </c>
      <c r="K13" s="183">
        <f t="shared" si="6"/>
        <v>2450</v>
      </c>
      <c r="L13" s="183">
        <f t="shared" si="6"/>
        <v>12226</v>
      </c>
      <c r="M13" s="183">
        <f t="shared" si="6"/>
        <v>713</v>
      </c>
      <c r="N13" s="183">
        <f t="shared" si="6"/>
        <v>994</v>
      </c>
      <c r="O13" s="183">
        <f t="shared" si="6"/>
        <v>1407</v>
      </c>
      <c r="P13" s="183">
        <f t="shared" si="6"/>
        <v>757</v>
      </c>
      <c r="Q13" s="183">
        <f t="shared" si="6"/>
        <v>686</v>
      </c>
      <c r="R13" s="183">
        <f t="shared" si="6"/>
        <v>15816</v>
      </c>
      <c r="S13" s="183">
        <f t="shared" si="6"/>
        <v>12695</v>
      </c>
      <c r="T13" s="183">
        <f t="shared" si="6"/>
        <v>5186</v>
      </c>
      <c r="U13" s="183">
        <f t="shared" si="6"/>
        <v>3558</v>
      </c>
      <c r="V13" s="183">
        <f t="shared" si="6"/>
        <v>14249</v>
      </c>
      <c r="W13" s="183">
        <f t="shared" si="6"/>
        <v>802</v>
      </c>
      <c r="X13" s="183">
        <f t="shared" si="6"/>
        <v>1458</v>
      </c>
      <c r="Y13" s="183">
        <f t="shared" si="6"/>
        <v>339</v>
      </c>
      <c r="Z13" s="183">
        <f t="shared" si="6"/>
        <v>239</v>
      </c>
      <c r="AA13" s="183">
        <f t="shared" si="6"/>
        <v>232</v>
      </c>
      <c r="AB13" s="183">
        <f t="shared" si="6"/>
        <v>358</v>
      </c>
      <c r="AC13" s="183">
        <f t="shared" si="6"/>
        <v>0</v>
      </c>
      <c r="AD13" s="183">
        <f t="shared" si="6"/>
        <v>0</v>
      </c>
      <c r="AE13" s="183">
        <f t="shared" si="6"/>
        <v>0</v>
      </c>
      <c r="AF13" s="183">
        <f>SUBTOTAL(9,AF9:AF12)</f>
        <v>0</v>
      </c>
      <c r="AG13" s="183">
        <f t="shared" ref="AG13:AT13" si="7">SUBTOTAL(9,AG8:AG12)</f>
        <v>277</v>
      </c>
      <c r="AH13" s="183">
        <f t="shared" si="7"/>
        <v>234</v>
      </c>
      <c r="AI13" s="183">
        <f t="shared" si="7"/>
        <v>219</v>
      </c>
      <c r="AJ13" s="183">
        <f t="shared" si="7"/>
        <v>273</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12972</v>
      </c>
      <c r="AZ13" s="183">
        <f>SUBTOTAL(9,AZ8:AZ12)</f>
        <v>5420</v>
      </c>
      <c r="BA13" s="183">
        <f>SUBTOTAL(9,BA8:BA12)</f>
        <v>3777</v>
      </c>
      <c r="BB13" s="183">
        <f>SUBTOTAL(9,BB8:BB12)</f>
        <v>14522</v>
      </c>
      <c r="BC13" s="183">
        <f>SUBTOTAL(9,BC8:BC12)</f>
        <v>1463</v>
      </c>
      <c r="BD13" s="204">
        <f>IF(ISNUMBER(BA13/AZ13),BA13/AZ13," - ")</f>
        <v>0.6968634686346864</v>
      </c>
      <c r="BE13" s="205">
        <f>IF(ISNUMBER(BB13/BA13),BB13/BA13, " - ")</f>
        <v>3.8448504103786072</v>
      </c>
      <c r="BF13" s="205">
        <f>IF(ISNUMBER(BC13/BA13),BC13/BA13, " - ")</f>
        <v>0.38734445326979083</v>
      </c>
      <c r="BG13" s="206">
        <f>IF(ISNUMBER((AY13+AZ13)/BA13),(AY13+AZ13)/BA13," - ")</f>
        <v>4.8694731268202274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3388</v>
      </c>
      <c r="J15" s="182">
        <v>2271</v>
      </c>
      <c r="K15" s="182">
        <v>2391</v>
      </c>
      <c r="L15" s="182">
        <v>3302</v>
      </c>
      <c r="M15" s="182">
        <v>492</v>
      </c>
      <c r="N15" s="182">
        <v>1235</v>
      </c>
      <c r="O15" s="180">
        <v>80</v>
      </c>
      <c r="P15" s="182">
        <v>140</v>
      </c>
      <c r="Q15" s="182">
        <v>173</v>
      </c>
      <c r="R15" s="182">
        <v>339</v>
      </c>
      <c r="S15" s="182">
        <v>3373</v>
      </c>
      <c r="T15" s="182">
        <v>2178</v>
      </c>
      <c r="U15" s="182">
        <v>2250</v>
      </c>
      <c r="V15" s="182">
        <v>3333</v>
      </c>
      <c r="W15" s="182">
        <v>485</v>
      </c>
      <c r="X15" s="188">
        <v>1300</v>
      </c>
      <c r="Y15" s="201">
        <v>0</v>
      </c>
      <c r="Z15" s="182">
        <v>0</v>
      </c>
      <c r="AA15" s="182">
        <v>0</v>
      </c>
      <c r="AB15" s="182">
        <v>0</v>
      </c>
      <c r="AC15" s="182">
        <v>0</v>
      </c>
      <c r="AD15" s="182">
        <v>0</v>
      </c>
      <c r="AE15" s="182">
        <v>0</v>
      </c>
      <c r="AF15" s="188">
        <v>0</v>
      </c>
      <c r="AG15" s="201">
        <v>0</v>
      </c>
      <c r="AH15" s="182">
        <v>0</v>
      </c>
      <c r="AI15" s="182">
        <v>0</v>
      </c>
      <c r="AJ15" s="202">
        <v>0</v>
      </c>
      <c r="AK15" s="181">
        <v>0</v>
      </c>
      <c r="AL15" s="182">
        <v>17</v>
      </c>
      <c r="AM15" s="182">
        <v>17</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3373</v>
      </c>
      <c r="AZ15" s="129">
        <f t="shared" si="9"/>
        <v>2178</v>
      </c>
      <c r="BA15" s="129">
        <f t="shared" si="9"/>
        <v>2250</v>
      </c>
      <c r="BB15" s="129">
        <f t="shared" si="9"/>
        <v>3333</v>
      </c>
      <c r="BC15" s="125">
        <f>IF(ISNUMBER(W15),W15," - ")</f>
        <v>485</v>
      </c>
      <c r="BD15" s="126">
        <f>IF(ISNUMBER(BA15/AZ15),BA15/AZ15," - ")</f>
        <v>1.0330578512396693</v>
      </c>
      <c r="BE15" s="127">
        <f>IF(ISNUMBER(BB15/BA15),BB15/BA15, " - ")</f>
        <v>1.4813333333333334</v>
      </c>
      <c r="BF15" s="127">
        <f>IF(ISNUMBER(BC15/BA15),BC15/BA15, " - ")</f>
        <v>0.21555555555555556</v>
      </c>
      <c r="BG15" s="195">
        <f t="shared" ref="BG15:BG17" si="10">IF(ISNUMBER((AY15+AZ15)/BA15),(AY15+AZ15)/BA15," - ")</f>
        <v>2.467111111111111</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329</v>
      </c>
      <c r="J18" s="182">
        <v>393</v>
      </c>
      <c r="K18" s="182">
        <v>384</v>
      </c>
      <c r="L18" s="182">
        <v>340</v>
      </c>
      <c r="M18" s="182">
        <v>76</v>
      </c>
      <c r="N18" s="182">
        <v>274</v>
      </c>
      <c r="O18" s="182">
        <v>0</v>
      </c>
      <c r="P18" s="182">
        <v>12</v>
      </c>
      <c r="Q18" s="182">
        <v>24</v>
      </c>
      <c r="R18" s="182">
        <v>14</v>
      </c>
      <c r="S18" s="182">
        <v>316</v>
      </c>
      <c r="T18" s="182">
        <v>315</v>
      </c>
      <c r="U18" s="182">
        <v>378</v>
      </c>
      <c r="V18" s="182">
        <v>253</v>
      </c>
      <c r="W18" s="182">
        <v>47</v>
      </c>
      <c r="X18" s="188">
        <v>323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316</v>
      </c>
      <c r="AZ18" s="129">
        <f t="shared" si="19"/>
        <v>315</v>
      </c>
      <c r="BA18" s="129">
        <f t="shared" si="19"/>
        <v>378</v>
      </c>
      <c r="BB18" s="129">
        <f t="shared" si="19"/>
        <v>253</v>
      </c>
      <c r="BC18" s="125">
        <f>IF(ISNUMBER(W18),W18," - ")</f>
        <v>47</v>
      </c>
      <c r="BD18" s="126">
        <f>IF(ISNUMBER(BA18/AZ18),BA18/AZ18," - ")</f>
        <v>1.2</v>
      </c>
      <c r="BE18" s="127">
        <f>IF(ISNUMBER(BB18/BA18),BB18/BA18, " - ")</f>
        <v>0.6693121693121693</v>
      </c>
      <c r="BF18" s="127">
        <f>IF(ISNUMBER(BC18/BA18),BC18/BA18, " - ")</f>
        <v>0.12433862433862433</v>
      </c>
      <c r="BG18" s="195">
        <f>IF(ISNUMBER((AY18+AZ18)/BA18),(AY18+AZ18)/BA18," - ")</f>
        <v>1.6693121693121693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3717</v>
      </c>
      <c r="J19" s="183">
        <f t="shared" si="20"/>
        <v>2664</v>
      </c>
      <c r="K19" s="183">
        <f t="shared" si="20"/>
        <v>2775</v>
      </c>
      <c r="L19" s="183">
        <f t="shared" si="20"/>
        <v>3642</v>
      </c>
      <c r="M19" s="183">
        <f t="shared" si="20"/>
        <v>568</v>
      </c>
      <c r="N19" s="183">
        <f t="shared" si="20"/>
        <v>1509</v>
      </c>
      <c r="O19" s="183">
        <f t="shared" si="20"/>
        <v>80</v>
      </c>
      <c r="P19" s="183">
        <f t="shared" si="20"/>
        <v>152</v>
      </c>
      <c r="Q19" s="183">
        <f t="shared" si="20"/>
        <v>197</v>
      </c>
      <c r="R19" s="183">
        <f t="shared" si="20"/>
        <v>353</v>
      </c>
      <c r="S19" s="183">
        <f t="shared" si="20"/>
        <v>3689</v>
      </c>
      <c r="T19" s="183">
        <f t="shared" si="20"/>
        <v>2493</v>
      </c>
      <c r="U19" s="183">
        <f t="shared" si="20"/>
        <v>2628</v>
      </c>
      <c r="V19" s="183">
        <f t="shared" si="20"/>
        <v>3586</v>
      </c>
      <c r="W19" s="183">
        <f t="shared" si="20"/>
        <v>532</v>
      </c>
      <c r="X19" s="183">
        <f t="shared" si="20"/>
        <v>1623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17</v>
      </c>
      <c r="AM19" s="183">
        <f t="shared" si="20"/>
        <v>17</v>
      </c>
      <c r="AN19" s="183">
        <f t="shared" si="20"/>
        <v>0</v>
      </c>
      <c r="AO19" s="183">
        <f t="shared" si="20"/>
        <v>4</v>
      </c>
      <c r="AP19" s="183">
        <f t="shared" si="20"/>
        <v>4</v>
      </c>
      <c r="AQ19" s="183">
        <f t="shared" si="20"/>
        <v>4</v>
      </c>
      <c r="AR19" s="183">
        <f t="shared" si="20"/>
        <v>4</v>
      </c>
      <c r="AS19" s="183">
        <f t="shared" si="20"/>
        <v>0</v>
      </c>
      <c r="AT19" s="183">
        <f t="shared" si="20"/>
        <v>0</v>
      </c>
      <c r="AU19" s="203"/>
      <c r="AV19" s="132"/>
      <c r="AW19" s="203"/>
      <c r="AX19" s="132"/>
      <c r="AY19" s="183">
        <f>SUBTOTAL(9,AY14:AY18)</f>
        <v>3689</v>
      </c>
      <c r="AZ19" s="183">
        <f>SUBTOTAL(9,AZ14:AZ18)</f>
        <v>2493</v>
      </c>
      <c r="BA19" s="183">
        <f>SUBTOTAL(9,BA14:BA18)</f>
        <v>2628</v>
      </c>
      <c r="BB19" s="183">
        <f>SUBTOTAL(9,BB14:BB18)</f>
        <v>3586</v>
      </c>
      <c r="BC19" s="183">
        <f>SUBTOTAL(9,BC14:BC18)</f>
        <v>532</v>
      </c>
      <c r="BD19" s="204">
        <f>IF(ISNUMBER(BA19/AZ19),BA19/AZ19," - ")</f>
        <v>1.0541516245487366</v>
      </c>
      <c r="BE19" s="205">
        <f>IF(ISNUMBER(BB19/BA19),BB19/BA19, " - ")</f>
        <v>1.3645357686453576</v>
      </c>
      <c r="BF19" s="205">
        <f>IF(ISNUMBER(BC19/BA19),BC19/BA19, " - ")</f>
        <v>0.20243531202435311</v>
      </c>
      <c r="BG19" s="206">
        <f>IF(ISNUMBER((AY19+AZ19)/BA19),(AY19+AZ19)/BA19," - ")</f>
        <v>2.352359208523592</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15839</v>
      </c>
      <c r="J20" s="134">
        <f t="shared" si="23"/>
        <v>5311</v>
      </c>
      <c r="K20" s="134">
        <f t="shared" si="23"/>
        <v>5225</v>
      </c>
      <c r="L20" s="134">
        <f t="shared" si="23"/>
        <v>15868</v>
      </c>
      <c r="M20" s="134">
        <f t="shared" si="23"/>
        <v>1281</v>
      </c>
      <c r="N20" s="134">
        <f t="shared" si="23"/>
        <v>2503</v>
      </c>
      <c r="O20" s="134">
        <f t="shared" si="23"/>
        <v>1487</v>
      </c>
      <c r="P20" s="134">
        <f t="shared" si="23"/>
        <v>909</v>
      </c>
      <c r="Q20" s="134">
        <f t="shared" si="23"/>
        <v>883</v>
      </c>
      <c r="R20" s="134">
        <f t="shared" si="23"/>
        <v>16169</v>
      </c>
      <c r="S20" s="134">
        <f t="shared" si="23"/>
        <v>16384</v>
      </c>
      <c r="T20" s="134">
        <f t="shared" si="23"/>
        <v>7679</v>
      </c>
      <c r="U20" s="134">
        <f t="shared" si="23"/>
        <v>6186</v>
      </c>
      <c r="V20" s="134">
        <f t="shared" si="23"/>
        <v>17835</v>
      </c>
      <c r="W20" s="134">
        <f t="shared" si="23"/>
        <v>1334</v>
      </c>
      <c r="X20" s="134">
        <f t="shared" si="23"/>
        <v>3081</v>
      </c>
      <c r="Y20" s="134">
        <f t="shared" si="23"/>
        <v>339</v>
      </c>
      <c r="Z20" s="134">
        <f t="shared" si="23"/>
        <v>239</v>
      </c>
      <c r="AA20" s="134">
        <f t="shared" si="23"/>
        <v>232</v>
      </c>
      <c r="AB20" s="134">
        <f t="shared" si="23"/>
        <v>358</v>
      </c>
      <c r="AC20" s="134">
        <f t="shared" si="23"/>
        <v>0</v>
      </c>
      <c r="AD20" s="134">
        <f t="shared" si="23"/>
        <v>0</v>
      </c>
      <c r="AE20" s="134">
        <f t="shared" si="23"/>
        <v>0</v>
      </c>
      <c r="AF20" s="134">
        <f t="shared" si="23"/>
        <v>0</v>
      </c>
      <c r="AG20" s="134">
        <f t="shared" si="23"/>
        <v>277</v>
      </c>
      <c r="AH20" s="134">
        <f t="shared" si="23"/>
        <v>234</v>
      </c>
      <c r="AI20" s="134">
        <f t="shared" si="23"/>
        <v>219</v>
      </c>
      <c r="AJ20" s="134">
        <f t="shared" si="23"/>
        <v>273</v>
      </c>
      <c r="AK20" s="134">
        <f t="shared" si="23"/>
        <v>0</v>
      </c>
      <c r="AL20" s="134">
        <f t="shared" si="23"/>
        <v>17</v>
      </c>
      <c r="AM20" s="134">
        <f t="shared" si="23"/>
        <v>17</v>
      </c>
      <c r="AN20" s="209">
        <f t="shared" si="23"/>
        <v>0</v>
      </c>
      <c r="AO20" s="210">
        <v>10</v>
      </c>
      <c r="AP20" s="210">
        <v>10</v>
      </c>
      <c r="AQ20" s="210">
        <v>10</v>
      </c>
      <c r="AR20" s="210">
        <v>10</v>
      </c>
      <c r="AS20" s="152">
        <f t="shared" si="23"/>
        <v>0</v>
      </c>
      <c r="AT20" s="152">
        <f t="shared" si="23"/>
        <v>0</v>
      </c>
      <c r="AU20" s="210"/>
      <c r="AV20" s="211"/>
      <c r="AW20" s="210"/>
      <c r="AX20" s="211"/>
      <c r="AY20" s="133">
        <f>SUBTOTAL(9,AY9:AY19)</f>
        <v>16661</v>
      </c>
      <c r="AZ20" s="134">
        <f>SUBTOTAL(9,AZ9:AZ19)</f>
        <v>7913</v>
      </c>
      <c r="BA20" s="134">
        <f>SUBTOTAL(9,BA9:BA19)</f>
        <v>6405</v>
      </c>
      <c r="BB20" s="134">
        <f>SUBTOTAL(9,BB9:BB19)</f>
        <v>18108</v>
      </c>
      <c r="BC20" s="135">
        <f>SUBTOTAL(9,BC9:BC19)</f>
        <v>1995</v>
      </c>
      <c r="BD20" s="212">
        <f>IF(ISNUMBER(BA20/AZ20),BA20/AZ20," - ")</f>
        <v>0.80942752432705678</v>
      </c>
      <c r="BE20" s="209">
        <f>IF(ISNUMBER(BB20/BA20),BB20/BA20, " - ")</f>
        <v>2.8271662763466043</v>
      </c>
      <c r="BF20" s="209">
        <f>IF(ISNUMBER(BC20/BA20),BC20/BA20, " - ")</f>
        <v>0.31147540983606559</v>
      </c>
      <c r="BG20" s="135">
        <f>IF(ISNUMBER((AY20+AZ20)/BA20),(AY20+AZ20)/BA20," - ")</f>
        <v>3.8366900858704138</v>
      </c>
      <c r="BH20" s="210">
        <f>SUBTOTAL(9,BH9:BH19)</f>
        <v>11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4YWUxZxOQfGy1DaX1xauRtE8cd/ySx6xKNInyh8MGvEIgJnJMRdSvQ/RyOG68GBWNfL2SrDJefp5gc5tYI38Q==" saltValue="B2qJrBUSsaSuF89XkOEb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xCqedyaWp82uKaF7I3RfvlpDt/jt135cl27HAiOPpbn/Eo6y8VKk2own4TNMu1LEoriYklPPNek6RMo+csQ8Q==" saltValue="qAyRQrJVOB4pFIpRrd+K7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ORIHUELA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239</v>
      </c>
      <c r="O9" s="1247"/>
      <c r="P9" s="1247"/>
      <c r="Q9" s="1215">
        <f>IF(ISNUMBER(Datos!P9),Datos!P9,0)</f>
        <v>745</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683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358</v>
      </c>
      <c r="AI9" s="1247" t="str">
        <f>IF(ISNUMBER(Datos!CD9),Datos!CD9,"-")</f>
        <v>-</v>
      </c>
      <c r="AJ9" s="1247" t="str">
        <f>IF(ISNUMBER(Datos!EN9),Datos!EN9," - ")</f>
        <v xml:space="preserve"> - </v>
      </c>
      <c r="AK9" s="1247"/>
      <c r="AL9" s="1258"/>
      <c r="AM9" s="1248">
        <f>IF(ISNUMBER(Datos!R9),Datos!R9," - ")</f>
        <v>15661</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694</v>
      </c>
      <c r="BD9" s="1218">
        <f>IF(ISNUMBER(Datos!N9),Datos!N9," - ")</f>
        <v>978</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0.9260302923564635</v>
      </c>
      <c r="BH9" s="1226">
        <f>IF(ISNUMBER(((IF(J_V="SI",Datos!L9/Datos!K9,(Datos!L9+Datos!AB9)/(Datos!K9+Datos!AA9)))*11)/factor_trimestre),((IF(J_V="SI",Datos!L9/Datos!K9,(Datos!L9+Datos!AB9)/(Datos!K9+Datos!AA9)))*11)/factor_trimestre," - ")</f>
        <v>14.155572461011793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3.9746137572921345E-3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185</v>
      </c>
      <c r="G10" s="1246">
        <f>IF(ISNUMBER(Datos!I10),Datos!I10," - ")</f>
        <v>185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53</v>
      </c>
      <c r="AC10" s="1215">
        <f>IF(ISNUMBER(Datos!Q10),Datos!Q10," - ")</f>
        <v>3</v>
      </c>
      <c r="AD10" s="1247"/>
      <c r="AE10" s="1262"/>
      <c r="AF10" s="1245">
        <f>IF(ISNUMBER(Datos!L10),Datos!L10,"-")</f>
        <v>179</v>
      </c>
      <c r="AG10" s="1247"/>
      <c r="AH10" s="1247"/>
      <c r="AI10" s="1247"/>
      <c r="AJ10" s="1247"/>
      <c r="AK10" s="1247"/>
      <c r="AL10" s="1258"/>
      <c r="AM10" s="1248">
        <f>IF(ISNUMBER(Datos!R10),Datos!R10," - ")</f>
        <v>155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19</v>
      </c>
      <c r="BD10" s="1218">
        <f>IF(ISNUMBER(Datos!N10),Datos!N10," - ")</f>
        <v>16</v>
      </c>
      <c r="BE10" s="1218" t="str">
        <f>IF(ISNUMBER(Datos!BW10),Datos!BW10," - ")</f>
        <v xml:space="preserve"> - </v>
      </c>
      <c r="BF10" s="1217" t="str">
        <f>IF(ISNUMBER(Datos!BX10),Datos!BX10," - ")</f>
        <v xml:space="preserve"> - </v>
      </c>
      <c r="BG10" s="1223">
        <f>IF(ISNUMBER(Datos!K10/Datos!J10),Datos!K10/Datos!J10," - ")</f>
        <v>1.1276595744680851</v>
      </c>
      <c r="BH10" s="1226">
        <f>IF(ISNUMBER(((Datos!L10/Datos!K10)*11)/factor_trimestre),((Datos!L10/Datos!K10)*11)/factor_trimestre," - ")</f>
        <v>10.132075471698114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6.1643835616438353E-2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185</v>
      </c>
      <c r="G13" s="1391">
        <f t="shared" si="0"/>
        <v>185</v>
      </c>
      <c r="H13" s="1392">
        <f t="shared" si="0"/>
        <v>0</v>
      </c>
      <c r="I13" s="1391">
        <f t="shared" si="0"/>
        <v>0</v>
      </c>
      <c r="J13" s="1383">
        <f t="shared" si="0"/>
        <v>0</v>
      </c>
      <c r="K13" s="1383">
        <f t="shared" si="0"/>
        <v>0</v>
      </c>
      <c r="L13" s="1392">
        <f t="shared" si="0"/>
        <v>0</v>
      </c>
      <c r="M13" s="1392">
        <f t="shared" si="0"/>
        <v>0</v>
      </c>
      <c r="N13" s="1392">
        <f t="shared" si="0"/>
        <v>239</v>
      </c>
      <c r="O13" s="1393">
        <f t="shared" si="0"/>
        <v>0</v>
      </c>
      <c r="P13" s="1393">
        <f t="shared" si="0"/>
        <v>0</v>
      </c>
      <c r="Q13" s="1392">
        <f t="shared" si="0"/>
        <v>757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53</v>
      </c>
      <c r="AC13" s="1392">
        <f t="shared" si="1"/>
        <v>686</v>
      </c>
      <c r="AD13" s="1392">
        <f t="shared" si="1"/>
        <v>0</v>
      </c>
      <c r="AE13" s="1392">
        <f t="shared" si="1"/>
        <v>0</v>
      </c>
      <c r="AF13" s="1392">
        <f t="shared" si="1"/>
        <v>179</v>
      </c>
      <c r="AG13" s="1392">
        <f t="shared" si="1"/>
        <v>0</v>
      </c>
      <c r="AH13" s="1392">
        <f t="shared" si="1"/>
        <v>358</v>
      </c>
      <c r="AI13" s="1392">
        <f t="shared" si="1"/>
        <v>0</v>
      </c>
      <c r="AJ13" s="1392">
        <f t="shared" si="1"/>
        <v>0</v>
      </c>
      <c r="AK13" s="1392">
        <f t="shared" si="1"/>
        <v>0</v>
      </c>
      <c r="AL13" s="1392">
        <f t="shared" si="1"/>
        <v>0</v>
      </c>
      <c r="AM13" s="1392">
        <f t="shared" si="1"/>
        <v>15816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713</v>
      </c>
      <c r="BD13" s="1392">
        <f t="shared" si="1"/>
        <v>994</v>
      </c>
      <c r="BE13" s="1392">
        <f t="shared" si="1"/>
        <v>0</v>
      </c>
      <c r="BF13" s="1392">
        <f t="shared" si="1"/>
        <v>0</v>
      </c>
      <c r="BG13" s="1392">
        <f>IF(ISNUMBER(Datos!K13/Datos!J13),Datos!K13/Datos!J13," - ")</f>
        <v>0.92557612391386479</v>
      </c>
      <c r="BH13" s="1396">
        <f>IF(ISNUMBER(((Datos!L13/Datos!K13)*11)/factor_trimestre),((Datos!L13/Datos!K13)*11)/factor_trimestre," - ")</f>
        <v>14.970612244897959</v>
      </c>
      <c r="BI13" s="1392">
        <f>IF(ISNUMBER('Resol  Asuntos'!D13/NºAsuntos!G13),'Resol  Asuntos'!D13/NºAsuntos!G13," - ")</f>
        <v>0.26584638329604771</v>
      </c>
      <c r="BJ13" s="1392" t="str">
        <f>IF(ISNUMBER(Datos!CI13/Datos!CJ13),Datos!CI13/Datos!CJ13," - ")</f>
        <v xml:space="preserve"> - </v>
      </c>
      <c r="BK13" s="1392">
        <f>SUBTOTAL(9,BK8:BK12)</f>
        <v>0</v>
      </c>
      <c r="BL13" s="1392">
        <f>IF(ISNUMBER((I13-AB13+L13)/(F13)),(I13-AB13+L13)/(F13)," - ")</f>
        <v>-0.2864864864864865</v>
      </c>
      <c r="BM13" s="1397">
        <f>SUBTOTAL(9,BM9:BM12)</f>
        <v>6.5618449373730486E-2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3422</v>
      </c>
      <c r="G15" s="1335">
        <f>IF(ISNUMBER(IF(D_I="SI",Datos!I15,Datos!I15+Datos!AC15)),IF(D_I="SI",Datos!I15,Datos!I15+Datos!AC15)," - ")</f>
        <v>3388</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140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2391</v>
      </c>
      <c r="AC15" s="1215">
        <f>IF(ISNUMBER(Datos!Q15),Datos!Q15," - ")</f>
        <v>173</v>
      </c>
      <c r="AD15" s="1247"/>
      <c r="AE15" s="1262"/>
      <c r="AF15" s="1333">
        <f>IF(ISNUMBER(IF(D_I="SI",Datos!L15,Datos!L15+Datos!AF15)),IF(D_I="SI",Datos!L15,Datos!L15+Datos!AF15)," - ")</f>
        <v>3302</v>
      </c>
      <c r="AG15" s="1247"/>
      <c r="AH15" s="1247"/>
      <c r="AI15" s="1247"/>
      <c r="AJ15" s="1247"/>
      <c r="AK15" s="1247"/>
      <c r="AL15" s="1258"/>
      <c r="AM15" s="1248">
        <f>IF(ISNUMBER(Datos!R15),Datos!R15," - ")</f>
        <v>339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492</v>
      </c>
      <c r="BD15" s="1218">
        <f>IF(ISNUMBER(Datos!N15),Datos!N15," - ")</f>
        <v>1235</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1.0528401585204756</v>
      </c>
      <c r="BH15" s="1226">
        <f>IF(ISNUMBER(((IF(D_I="SI",Datos!L15/Datos!K15,(Datos!L15+Datos!AF15)/(Datos!K15+Datos!AE15)))*11)/factor_trimestre),((IF(D_I="SI",Datos!L15/Datos!K15,(Datos!L15+Datos!AF15)/(Datos!K15+Datos!AE15)))*11)/factor_trimestre," - ")</f>
        <v>4.1430363864491841</v>
      </c>
      <c r="BI15" s="1223">
        <f>IF(ISNUMBER('Resol  Asuntos'!D15/NºAsuntos!G15),'Resol  Asuntos'!D15/NºAsuntos!G15," - ")</f>
        <v>0.20577164366373901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329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384</v>
      </c>
      <c r="AC18" s="1215">
        <f>IF(ISNUMBER(Datos!Q18),Datos!Q18," - ")</f>
        <v>24</v>
      </c>
      <c r="AD18" s="1247"/>
      <c r="AE18" s="1262"/>
      <c r="AF18" s="1245">
        <f>IF(ISNUMBER(Datos!L18),Datos!L18,"-")</f>
        <v>340</v>
      </c>
      <c r="AG18" s="1247"/>
      <c r="AH18" s="1247"/>
      <c r="AI18" s="1247"/>
      <c r="AJ18" s="1247"/>
      <c r="AK18" s="1247"/>
      <c r="AL18" s="1258"/>
      <c r="AM18" s="1248">
        <f>IF(ISNUMBER(Datos!R18),Datos!R18," - ")</f>
        <v>14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76</v>
      </c>
      <c r="BD18" s="1218">
        <f>IF(ISNUMBER(Datos!N18),Datos!N18," - ")</f>
        <v>274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0.97709923664122134</v>
      </c>
      <c r="BH18" s="1226">
        <f>IF(ISNUMBER(((IF(D_I="SI",Datos!L18/Datos!K18,(Datos!L18+Datos!AF18)/(Datos!K18+Datos!AE18)))*11)/factor_trimestre),((IF(D_I="SI",Datos!L18/Datos!K18,(Datos!L18+Datos!AF18)/(Datos!K18+Datos!AE18)))*11)/factor_trimestre," - ")</f>
        <v>2.65625</v>
      </c>
      <c r="BI18" s="1223">
        <f>IF(ISNUMBER('Resol  Asuntos'!D18/NºAsuntos!G18),'Resol  Asuntos'!D18/NºAsuntos!G18," - ")</f>
        <v>0.19791666666666666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3422</v>
      </c>
      <c r="G19" s="1391">
        <f>SUBTOTAL(9,G15:G18)</f>
        <v>3717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152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2775</v>
      </c>
      <c r="AC19" s="1392">
        <f t="shared" si="4"/>
        <v>197</v>
      </c>
      <c r="AD19" s="1392">
        <f t="shared" si="4"/>
        <v>0</v>
      </c>
      <c r="AE19" s="1392">
        <f t="shared" si="4"/>
        <v>0</v>
      </c>
      <c r="AF19" s="1392">
        <f t="shared" si="4"/>
        <v>3642</v>
      </c>
      <c r="AG19" s="1392">
        <f t="shared" si="4"/>
        <v>0</v>
      </c>
      <c r="AH19" s="1392">
        <f t="shared" si="4"/>
        <v>0</v>
      </c>
      <c r="AI19" s="1392">
        <f t="shared" si="4"/>
        <v>0</v>
      </c>
      <c r="AJ19" s="1392">
        <f t="shared" si="4"/>
        <v>0</v>
      </c>
      <c r="AK19" s="1392">
        <f t="shared" si="4"/>
        <v>0</v>
      </c>
      <c r="AL19" s="1392">
        <f t="shared" si="4"/>
        <v>0</v>
      </c>
      <c r="AM19" s="1392">
        <f t="shared" si="4"/>
        <v>353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568</v>
      </c>
      <c r="BD19" s="1392">
        <f t="shared" si="4"/>
        <v>1509</v>
      </c>
      <c r="BE19" s="1392">
        <f t="shared" si="4"/>
        <v>0</v>
      </c>
      <c r="BF19" s="1392">
        <f t="shared" si="4"/>
        <v>0</v>
      </c>
      <c r="BG19" s="1392">
        <f>IF(ISNUMBER(Datos!K19/Datos!J19),Datos!K19/Datos!J19," - ")</f>
        <v>1.0416666666666667</v>
      </c>
      <c r="BH19" s="1396">
        <f>IF(ISNUMBER(((Datos!L19/Datos!K19)*11)/factor_trimestre),((Datos!L19/Datos!K19)*11)/factor_trimestre," - ")</f>
        <v>3.937297297297297</v>
      </c>
      <c r="BI19" s="1392">
        <f>SUBTOTAL(9,BI15:BI18)</f>
        <v>0.40368831033040564</v>
      </c>
      <c r="BJ19" s="1392">
        <f>SUBTOTAL(9,BJ15:BJ18)</f>
        <v>0</v>
      </c>
      <c r="BK19" s="1392">
        <f>SUBTOTAL(9,BK15:BK18)</f>
        <v>0</v>
      </c>
      <c r="BL19" s="1392">
        <f>IF(ISNUMBER((I19-AB19+L19)/(F19)),(I19-AB19+L19)/(F19)," - ")</f>
        <v>-0.81092928112215079</v>
      </c>
      <c r="BM19" s="1398">
        <f>IF(ISNUMBER((Datos!P19-Datos!Q19)/(Datos!R19-Datos!P19+Datos!Q19)),(Datos!P19-Datos!Q19)/(Datos!R19-Datos!P19+Datos!Q19)," - ")</f>
        <v>-0.11306532663316583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11</v>
      </c>
      <c r="F20" s="1367">
        <f t="shared" si="6"/>
        <v>3607</v>
      </c>
      <c r="G20" s="1367">
        <f t="shared" si="6"/>
        <v>3902</v>
      </c>
      <c r="H20" s="1369">
        <f t="shared" si="6"/>
        <v>0</v>
      </c>
      <c r="I20" s="1367">
        <f t="shared" si="6"/>
        <v>0</v>
      </c>
      <c r="J20" s="1369">
        <f t="shared" si="6"/>
        <v>0</v>
      </c>
      <c r="K20" s="1369">
        <f t="shared" si="6"/>
        <v>0</v>
      </c>
      <c r="L20" s="1386">
        <f t="shared" si="6"/>
        <v>0</v>
      </c>
      <c r="M20" s="1386">
        <f t="shared" si="6"/>
        <v>0</v>
      </c>
      <c r="N20" s="1386">
        <f t="shared" si="6"/>
        <v>239</v>
      </c>
      <c r="O20" s="1386">
        <f t="shared" si="6"/>
        <v>0</v>
      </c>
      <c r="P20" s="1386">
        <f t="shared" si="6"/>
        <v>0</v>
      </c>
      <c r="Q20" s="1369">
        <f t="shared" si="6"/>
        <v>909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2828</v>
      </c>
      <c r="AC20" s="1368">
        <f t="shared" si="7"/>
        <v>883</v>
      </c>
      <c r="AD20" s="1368">
        <f t="shared" si="7"/>
        <v>0</v>
      </c>
      <c r="AE20" s="1368">
        <f t="shared" si="7"/>
        <v>0</v>
      </c>
      <c r="AF20" s="1371">
        <f t="shared" si="7"/>
        <v>3821</v>
      </c>
      <c r="AG20" s="1371">
        <f t="shared" si="7"/>
        <v>0</v>
      </c>
      <c r="AH20" s="1371">
        <f t="shared" si="7"/>
        <v>358</v>
      </c>
      <c r="AI20" s="1371">
        <f t="shared" si="7"/>
        <v>0</v>
      </c>
      <c r="AJ20" s="1368">
        <f t="shared" si="7"/>
        <v>0</v>
      </c>
      <c r="AK20" s="1371">
        <f t="shared" si="7"/>
        <v>0</v>
      </c>
      <c r="AL20" s="1371">
        <f t="shared" si="7"/>
        <v>0</v>
      </c>
      <c r="AM20" s="1371">
        <f t="shared" si="7"/>
        <v>16169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1281</v>
      </c>
      <c r="BD20" s="1367">
        <f t="shared" si="7"/>
        <v>2503</v>
      </c>
      <c r="BE20" s="1367">
        <f t="shared" si="7"/>
        <v>0</v>
      </c>
      <c r="BF20" s="1373">
        <f t="shared" si="7"/>
        <v>0</v>
      </c>
      <c r="BG20" s="1404">
        <f>IF(ISNUMBER(Datos!K20/Datos!J20),Datos!K20/Datos!J20," - ")</f>
        <v>0.98380719261909244</v>
      </c>
      <c r="BH20" s="1404">
        <f>IF(ISNUMBER(((Datos!L20/Datos!K20)*11)/factor_trimestre),((Datos!L20/Datos!K20)*11)/factor_trimestre," - ")</f>
        <v>9.1108133971291885</v>
      </c>
      <c r="BI20" s="1362">
        <f>IF(ISNUMBER(Datos!J20/Datos!I20),Datos!J20/Datos!I20," - ")</f>
        <v>0.33531157270029671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-0.7840310507346826</v>
      </c>
      <c r="BM20" s="1387">
        <f>IF(ISNUMBER((Datos!P20-Datos!Q20+R20)/(Datos!R20-Datos!P20+Datos!Q20-R20)),(Datos!P20-Datos!Q20+R20)/(Datos!R20-Datos!P20+Datos!Q20-R20)," - ")</f>
        <v>1.6106052158830454E-3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1560.8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2.6583202716502514</v>
      </c>
      <c r="F22" s="1298">
        <f>IF(ISNUMBER(STDEV(F8:F19)),STDEV(F8:F19),"-")</f>
        <v>1868.8828213668187</v>
      </c>
      <c r="G22" s="1299">
        <f>IF(ISNUMBER(STDEV(G8:G19)),STDEV(G8:G19),"-")</f>
        <v>1822.8302718574762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1339.0773689372843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305.56701392656896</v>
      </c>
      <c r="BD22" s="1298"/>
      <c r="BE22" s="1298">
        <f>IF(ISNUMBER(STDEV(BE8:BE19)),STDEV(BE8:BE19),"-")</f>
        <v>0</v>
      </c>
      <c r="BF22" s="1303">
        <f>IF(ISNUMBER(STDEV(BF8:BF19)),STDEV(BF8:BF19),"-")</f>
        <v>0</v>
      </c>
      <c r="BG22" s="1360">
        <f>IF(ISNUMBER(STDEV(BG8:BG19)),STDEV(BG8:BG19),"-")</f>
        <v>7.9910836233720681E-2</v>
      </c>
      <c r="BH22" s="1361">
        <f>IF(ISNUMBER(STDEV(BH8:BH19)),STDEV(BH8:BH19),"-")</f>
        <v>5.4827074546421635</v>
      </c>
      <c r="BI22" s="1224">
        <f>IF(ISNUMBER(STDEV(BI8:BI19)),STDEV(BI8:BI19),"-")</f>
        <v>9.5218386939327118E-2</v>
      </c>
      <c r="BJ22" s="1219" t="str">
        <f>IF(ISNUMBER(BL22/BM22),BL22/BM22," - ")</f>
        <v xml:space="preserve"> - </v>
      </c>
      <c r="BK22" s="1320"/>
      <c r="BL22" s="1306">
        <f>IF(ISNUMBER(STDEV(BL8:BL19)),STDEV(BL8:BL19),"-")</f>
        <v>0.37083705643130216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1FUyDFVMQ5WKHOxanHnZx3fNCinH+HdiSdTgIAXWvuTsEd1y52800GEQ+GfU1aFgRem2FT2gnACudfh7FuiA4Q==" saltValue="sjRBtvex3C5vA71KH6+75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ORIHUELA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745</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683</v>
      </c>
      <c r="AA9" s="331" t="str">
        <f>IF(ISNUMBER(IF(J_V="SI",Datos!L9,Datos!L9+Datos!AB9)-IF(Monitorios="SI",Datos!CD9,0)),
                          IF(J_V="SI",Datos!L9,Datos!L9+Datos!AB9)-IF(Monitorios="SI",Datos!CD9,0),
                          " - ")</f>
        <v xml:space="preserve"> - </v>
      </c>
      <c r="AB9" s="333"/>
      <c r="AC9" s="333"/>
      <c r="AD9" s="483"/>
      <c r="AE9" s="483">
        <f>IF(ISNUMBER(Datos!R9),Datos!R9," - ")</f>
        <v>15661</v>
      </c>
      <c r="AF9" s="228" t="str">
        <f>IF(ISNUMBER(Datos!BV9),Datos!BV9," - ")</f>
        <v xml:space="preserve"> - </v>
      </c>
      <c r="AG9" s="224" t="str">
        <f>IF(ISNUMBER(Datos!DV9),Datos!DV9," - ")</f>
        <v xml:space="preserve"> - </v>
      </c>
      <c r="AH9" s="297"/>
      <c r="AI9" s="226"/>
      <c r="AJ9" s="224">
        <f>IF(ISNUMBER(Datos!M9),Datos!M9," - ")</f>
        <v>694</v>
      </c>
      <c r="AK9" s="228">
        <f>IF(ISNUMBER(Datos!N9),Datos!N9," - ")</f>
        <v>978</v>
      </c>
      <c r="AL9" s="228" t="str">
        <f>IF(ISNUMBER(Datos!BW9),Datos!BW9," - ")</f>
        <v xml:space="preserve"> - </v>
      </c>
      <c r="AM9" s="227" t="str">
        <f>IF(ISNUMBER(Datos!BX9),Datos!BX9," - ")</f>
        <v xml:space="preserve"> - </v>
      </c>
      <c r="AN9" s="242"/>
      <c r="AO9" s="259">
        <f>IF(ISNUMBER(((NºAsuntos!I9/NºAsuntos!G9)*11)/factor_trimestre),((NºAsuntos!I9/NºAsuntos!G9)*11)/factor_trimestre," - ")</f>
        <v>14.155572461011793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3.9746137572921345E-3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185</v>
      </c>
      <c r="G10" s="224">
        <f>IF(ISNUMBER(Datos!I10),Datos!I10," - ")</f>
        <v>185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53</v>
      </c>
      <c r="Z10" s="617">
        <f>IF(ISNUMBER(Datos!Q10),Datos!Q10," - ")</f>
        <v>3</v>
      </c>
      <c r="AA10" s="331">
        <f>IF(ISNUMBER(Datos!L10),Datos!L10,"-")</f>
        <v>179</v>
      </c>
      <c r="AB10" s="333"/>
      <c r="AC10" s="333"/>
      <c r="AD10" s="483"/>
      <c r="AE10" s="483">
        <f>IF(ISNUMBER(Datos!R10),Datos!R10," - ")</f>
        <v>155</v>
      </c>
      <c r="AF10" s="228" t="str">
        <f>IF(ISNUMBER(Datos!BV10),Datos!BV10," - ")</f>
        <v xml:space="preserve"> - </v>
      </c>
      <c r="AG10" s="224" t="str">
        <f>IF(ISNUMBER(Datos!DV10),Datos!DV10," - ")</f>
        <v xml:space="preserve"> - </v>
      </c>
      <c r="AH10" s="297"/>
      <c r="AI10" s="226"/>
      <c r="AJ10" s="224">
        <f>IF(ISNUMBER(Datos!M10),Datos!M10," - ")</f>
        <v>19</v>
      </c>
      <c r="AK10" s="228">
        <f>IF(ISNUMBER(Datos!N10),Datos!N10," - ")</f>
        <v>16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10.132075471698114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6.1643835616438353E-2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185</v>
      </c>
      <c r="G13" s="895">
        <f>SUBTOTAL(9,G8:G12)</f>
        <v>185</v>
      </c>
      <c r="H13" s="905"/>
      <c r="I13" s="895">
        <f t="shared" ref="I13:N13" si="0">SUBTOTAL(9,I8:I12)</f>
        <v>0</v>
      </c>
      <c r="J13" s="864">
        <f t="shared" si="0"/>
        <v>0</v>
      </c>
      <c r="K13" s="905">
        <f t="shared" si="0"/>
        <v>0</v>
      </c>
      <c r="L13" s="905">
        <f t="shared" si="0"/>
        <v>0</v>
      </c>
      <c r="M13" s="905">
        <f t="shared" si="0"/>
        <v>0</v>
      </c>
      <c r="N13" s="905">
        <f t="shared" si="0"/>
        <v>757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53</v>
      </c>
      <c r="Z13" s="904">
        <f t="shared" si="2"/>
        <v>686</v>
      </c>
      <c r="AA13" s="897">
        <f t="shared" si="2"/>
        <v>179</v>
      </c>
      <c r="AB13" s="897">
        <f t="shared" si="2"/>
        <v>0</v>
      </c>
      <c r="AC13" s="897">
        <f t="shared" si="2"/>
        <v>0</v>
      </c>
      <c r="AD13" s="897">
        <f t="shared" si="2"/>
        <v>0</v>
      </c>
      <c r="AE13" s="897">
        <f t="shared" si="2"/>
        <v>15816</v>
      </c>
      <c r="AF13" s="905">
        <f t="shared" si="2"/>
        <v>0</v>
      </c>
      <c r="AG13" s="905">
        <f t="shared" si="2"/>
        <v>0</v>
      </c>
      <c r="AH13" s="905">
        <f t="shared" si="2"/>
        <v>0</v>
      </c>
      <c r="AI13" s="905">
        <f t="shared" si="2"/>
        <v>0</v>
      </c>
      <c r="AJ13" s="905">
        <f t="shared" si="2"/>
        <v>713</v>
      </c>
      <c r="AK13" s="905">
        <f t="shared" si="2"/>
        <v>994</v>
      </c>
      <c r="AL13" s="905">
        <f t="shared" si="2"/>
        <v>0</v>
      </c>
      <c r="AM13" s="905">
        <f t="shared" si="2"/>
        <v>0</v>
      </c>
      <c r="AN13" s="905">
        <f t="shared" si="2"/>
        <v>0</v>
      </c>
      <c r="AO13" s="901">
        <f>IF(ISNUMBER(((NºAsuntos!I13/NºAsuntos!G13)*11)/factor_trimestre),((NºAsuntos!I13/NºAsuntos!G13)*11)/factor_trimestre," - ")</f>
        <v>14.07606263982103</v>
      </c>
      <c r="AP13" s="907" t="str">
        <f>IF(ISNUMBER(Datos!CI13/Datos!CJ13),Datos!CI13/Datos!CJ13," - ")</f>
        <v xml:space="preserve"> - </v>
      </c>
      <c r="AQ13" s="923">
        <f t="shared" ref="AQ13:AV13" si="3">SUBTOTAL(9,AQ9:AQ12)</f>
        <v>0</v>
      </c>
      <c r="AR13" s="923">
        <f t="shared" si="3"/>
        <v>6.5618449373730486E-2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3422</v>
      </c>
      <c r="G15" s="224">
        <f>IF(ISNUMBER(IF(D_I="SI",Datos!I15,Datos!I15+Datos!AC15)),IF(D_I="SI",Datos!I15,Datos!I15+Datos!AC15)," - ")</f>
        <v>3388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2391</v>
      </c>
      <c r="Z15" s="617">
        <f>IF(ISNUMBER(Datos!Q15),Datos!Q15," - ")</f>
        <v>173</v>
      </c>
      <c r="AA15" s="331">
        <f>IF(ISNUMBER(IF(D_I="SI",Datos!L15,Datos!L15+Datos!AF15)),IF(D_I="SI",Datos!L15,Datos!L15+Datos!AF15)," - ")</f>
        <v>3302</v>
      </c>
      <c r="AB15" s="333"/>
      <c r="AC15" s="333"/>
      <c r="AD15" s="483"/>
      <c r="AE15" s="483">
        <f>IF(ISNUMBER(Datos!R15),Datos!R15," - ")</f>
        <v>339</v>
      </c>
      <c r="AF15" s="228" t="str">
        <f>IF(ISNUMBER(Datos!BV15),Datos!BV15," - ")</f>
        <v xml:space="preserve"> - </v>
      </c>
      <c r="AG15" s="224"/>
      <c r="AH15" s="297"/>
      <c r="AI15" s="226"/>
      <c r="AJ15" s="224">
        <f>IF(ISNUMBER(Datos!M15),Datos!M15," - ")</f>
        <v>492</v>
      </c>
      <c r="AK15" s="228">
        <f>IF(ISNUMBER(Datos!N15),Datos!N15," - ")</f>
        <v>1235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4.1430363864491841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329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384</v>
      </c>
      <c r="Z18" s="617">
        <f>IF(ISNUMBER(Datos!Q18),Datos!Q18," - ")</f>
        <v>24</v>
      </c>
      <c r="AA18" s="331">
        <f>IF(ISNUMBER(Datos!L18),Datos!L18,"-")</f>
        <v>340</v>
      </c>
      <c r="AB18" s="333"/>
      <c r="AC18" s="333"/>
      <c r="AD18" s="483"/>
      <c r="AE18" s="483">
        <f>IF(ISNUMBER(Datos!R18),Datos!R18," - ")</f>
        <v>14</v>
      </c>
      <c r="AF18" s="228" t="str">
        <f>IF(ISNUMBER(Datos!BV18),Datos!BV18," - ")</f>
        <v xml:space="preserve"> - </v>
      </c>
      <c r="AG18" s="224" t="str">
        <f>IF(ISNUMBER(Datos!DV18),Datos!DV18," - ")</f>
        <v xml:space="preserve"> - </v>
      </c>
      <c r="AH18" s="297"/>
      <c r="AI18" s="226"/>
      <c r="AJ18" s="224">
        <f>IF(ISNUMBER(Datos!M18),Datos!M18," - ")</f>
        <v>76</v>
      </c>
      <c r="AK18" s="228">
        <f>IF(ISNUMBER(Datos!N18),Datos!N18," - ")</f>
        <v>274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2.65625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3422</v>
      </c>
      <c r="G19" s="895">
        <f>SUBTOTAL(9,G15:G18)</f>
        <v>3717</v>
      </c>
      <c r="H19" s="927">
        <f>SUBTOTAL(9,H15:H18)</f>
        <v>0</v>
      </c>
      <c r="I19" s="908">
        <f>SUBTOTAL(9,I15:I18)</f>
        <v>0</v>
      </c>
      <c r="J19" s="864">
        <f>SUBTOTAL(9,J14:J18)</f>
        <v>0</v>
      </c>
      <c r="K19" s="927">
        <f t="shared" ref="K19:S19" si="4">SUBTOTAL(9,K15:K18)</f>
        <v>0</v>
      </c>
      <c r="L19" s="927">
        <f t="shared" si="4"/>
        <v>0</v>
      </c>
      <c r="M19" s="927">
        <f t="shared" si="4"/>
        <v>0</v>
      </c>
      <c r="N19" s="927">
        <f t="shared" si="4"/>
        <v>152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2775</v>
      </c>
      <c r="Z19" s="927">
        <f t="shared" si="5"/>
        <v>197</v>
      </c>
      <c r="AA19" s="927">
        <f t="shared" si="5"/>
        <v>3642</v>
      </c>
      <c r="AB19" s="927">
        <f t="shared" si="5"/>
        <v>0</v>
      </c>
      <c r="AC19" s="927">
        <f t="shared" si="5"/>
        <v>0</v>
      </c>
      <c r="AD19" s="927">
        <f t="shared" si="5"/>
        <v>0</v>
      </c>
      <c r="AE19" s="927">
        <f t="shared" si="5"/>
        <v>353</v>
      </c>
      <c r="AF19" s="927">
        <f t="shared" si="5"/>
        <v>0</v>
      </c>
      <c r="AG19" s="927">
        <f t="shared" si="5"/>
        <v>0</v>
      </c>
      <c r="AH19" s="927">
        <f t="shared" si="5"/>
        <v>0</v>
      </c>
      <c r="AI19" s="927">
        <f t="shared" si="5"/>
        <v>0</v>
      </c>
      <c r="AJ19" s="927">
        <f t="shared" si="5"/>
        <v>568</v>
      </c>
      <c r="AK19" s="927">
        <f t="shared" si="5"/>
        <v>1509</v>
      </c>
      <c r="AL19" s="927">
        <f t="shared" si="5"/>
        <v>0</v>
      </c>
      <c r="AM19" s="927">
        <f t="shared" si="5"/>
        <v>0</v>
      </c>
      <c r="AN19" s="927">
        <f t="shared" si="5"/>
        <v>0</v>
      </c>
      <c r="AO19" s="929">
        <f>IF(ISNUMBER(((NºAsuntos!I19/NºAsuntos!G19)*11)/factor_trimestre),((NºAsuntos!I19/NºAsuntos!G19)*11)/factor_trimestre," - ")</f>
        <v>3.937297297297297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11</v>
      </c>
      <c r="F20" s="817">
        <f t="shared" si="7"/>
        <v>3607</v>
      </c>
      <c r="G20" s="817">
        <f t="shared" si="7"/>
        <v>3902</v>
      </c>
      <c r="H20" s="818">
        <f t="shared" si="7"/>
        <v>0</v>
      </c>
      <c r="I20" s="817">
        <f t="shared" si="7"/>
        <v>0</v>
      </c>
      <c r="J20" s="819">
        <f t="shared" si="7"/>
        <v>0</v>
      </c>
      <c r="K20" s="817">
        <f t="shared" si="7"/>
        <v>0</v>
      </c>
      <c r="L20" s="820">
        <f t="shared" si="7"/>
        <v>0</v>
      </c>
      <c r="M20" s="817">
        <f t="shared" si="7"/>
        <v>0</v>
      </c>
      <c r="N20" s="818">
        <f t="shared" si="7"/>
        <v>909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2828</v>
      </c>
      <c r="Z20" s="824">
        <f t="shared" si="8"/>
        <v>883</v>
      </c>
      <c r="AA20" s="825">
        <f t="shared" si="8"/>
        <v>3821</v>
      </c>
      <c r="AB20" s="825">
        <f t="shared" si="8"/>
        <v>0</v>
      </c>
      <c r="AC20" s="825">
        <f t="shared" si="8"/>
        <v>0</v>
      </c>
      <c r="AD20" s="826">
        <f t="shared" si="8"/>
        <v>0</v>
      </c>
      <c r="AE20" s="826">
        <f t="shared" si="8"/>
        <v>16169</v>
      </c>
      <c r="AF20" s="827">
        <f t="shared" si="8"/>
        <v>0</v>
      </c>
      <c r="AG20" s="828">
        <f t="shared" si="8"/>
        <v>0</v>
      </c>
      <c r="AH20" s="829">
        <f t="shared" si="8"/>
        <v>0</v>
      </c>
      <c r="AI20" s="827">
        <f t="shared" si="8"/>
        <v>0</v>
      </c>
      <c r="AJ20" s="817">
        <f t="shared" si="8"/>
        <v>1281</v>
      </c>
      <c r="AK20" s="817">
        <f t="shared" si="8"/>
        <v>2503</v>
      </c>
      <c r="AL20" s="817">
        <f t="shared" si="8"/>
        <v>0</v>
      </c>
      <c r="AM20" s="830">
        <f t="shared" si="8"/>
        <v>0</v>
      </c>
      <c r="AN20" s="820">
        <f>IF(ISNUMBER(Datos!K20/Datos!J20),Datos!K20/Datos!J20," - ")</f>
        <v>0.98380719261909244</v>
      </c>
      <c r="AO20" s="820">
        <f>IF(ISNUMBER(FIND("06",Criterios!A8,1)),(IF(ISNUMBER(((Datos!R20/Datos!Q20)*11)/factor_trimestre),((Datos!R20/Datos!Q20)*11)/factor_trimestre," - ")),(IF(ISNUMBER(((Datos!L20/Datos!K20)*11)/factor_trimestre),((Datos!L20/Datos!K20)*11)/factor_trimestre," - ")))</f>
        <v>9.1108133971291885</v>
      </c>
      <c r="AP20" s="831" t="str">
        <f>IF(ISNUMBER(Datos!CI20/Datos!CJ20),Datos!CI20/Datos!CJ20," - ")</f>
        <v xml:space="preserve"> - </v>
      </c>
      <c r="AQ20" s="831">
        <f>IF(OR(ISNUMBER(FIND("01",Criterios!A8,1)),ISNUMBER(FIND("02",Criterios!A8,1)),ISNUMBER(FIND("03",Criterios!A8,1)),ISNUMBER(FIND("04",Criterios!A8,1))),(J20-Y20+K20)/(F20-K20),(I20-Y20+K20)/(F20-K20))</f>
        <v>-0.7840310507346826</v>
      </c>
      <c r="AR20" s="831">
        <f>IF(ISNUMBER((Datos!P20-Datos!Q20+O20)/(Datos!R20-Datos!P20+Datos!Q20-O20)),(Datos!P20-Datos!Q20+O20)/(Datos!R20-Datos!P20+Datos!Q20-O20)," - ")</f>
        <v>1.6106052158830454E-3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1560.8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1868.8828213668187</v>
      </c>
      <c r="G22" s="551">
        <f>IF(ISNUMBER(STDEV(G8:G19)),STDEV(G8:G19),"-")</f>
        <v>1822.8302718574762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305.56701392656896</v>
      </c>
      <c r="AK22" s="251"/>
      <c r="AL22" s="251">
        <f>IF(ISNUMBER(STDEV(AL8:AL19)),STDEV(AL8:AL19),"-")</f>
        <v>0</v>
      </c>
      <c r="AM22" s="253">
        <f>IF(ISNUMBER(STDEV(AM8:AM19)),STDEV(AM8:AM19),"-")</f>
        <v>0</v>
      </c>
      <c r="AN22" s="538">
        <f>IF(ISNUMBER(STDEV(AN8:AN19)),STDEV(AN8:AN19),"-")</f>
        <v>0</v>
      </c>
      <c r="AO22" s="539">
        <f>IF(ISNUMBER(STDEV(AO8:AO19)),STDEV(AO8:AO19),"-")</f>
        <v>5.2742955244667309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MLsjIbro1PVIv+2YvUk0Mkc13yAd8Rt0pIrl+izWASpCmyvcodLzqe0Jyq/GFilqpPmKyw/zCD/BbkRa84aSg==" saltValue="2mdle/xrSTUPLiOOYIp6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9b1kOiLGyXaOuK5LuDHHDs4pZ0pHl/I5ibhRrOJ7O2m6k/OekL6vrGsCp5OTyZEWtHVaM+nQ9fbiFuZ1Em28Q==" saltValue="zj9Wb/7mR5a5y7USTY7E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mUHIQUqiI6qld+JRRSv1yevbTFzR/hl3eZM1YSZROT55FUzUAREQC4U9ebEfLLDgVuSKm/x3CuFLJdyXtw49A==" saltValue="vT04XCGIaQ8sE/CrGC9wV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ORIHUELA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0.26584638329604771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0.18798178038255345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hTxPNfplw06MNj1tqFHwsBbliOC/UrgcB0cEHJv53b/t7uRtu8fIv/yw++Ylfbq3l7h7b/dkd1dIlxrIlsDSw==" saltValue="gSQZqgPp+8KmNmS2+yq3Z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62JrRcoAOeG/ZYCkbBEOFpkAxJrIO8DCkJonp7RxocfedqG8DN1dUPJarfg2czCr2g4jCCUAO/9BEu0ESdvxzQ==" saltValue="gT/cDYXjYlF5LdJ7HD+3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ORIHUELA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12276</v>
      </c>
      <c r="D9" s="403">
        <f>IF(ISNUMBER(C9/Datos!BH9),C9/Datos!BH9," - ")</f>
        <v>2046</v>
      </c>
      <c r="E9" s="402">
        <f>IF(ISNUMBER(IF(J_V="SI",Datos!J9,Datos!J9+Datos!Z9)),IF(J_V="SI",Datos!J9,Datos!J9+Datos!Z9)," - ")</f>
        <v>2839</v>
      </c>
      <c r="F9" s="403">
        <f>IF(ISNUMBER(E9/B9),E9/B9," - ")</f>
        <v>473.16666666666669</v>
      </c>
      <c r="G9" s="402">
        <f>IF(ISNUMBER(IF(J_V="SI",Datos!K9,Datos!K9+Datos!AA9)),IF(J_V="SI",Datos!K9,Datos!K9+Datos!AA9)," - ")</f>
        <v>2629</v>
      </c>
      <c r="H9" s="403">
        <f>IF(ISNUMBER(G9/B9),G9/B9," - ")</f>
        <v>438.16666666666669</v>
      </c>
      <c r="I9" s="402">
        <f>IF(ISNUMBER(IF(J_V="SI",Datos!L9,Datos!L9+Datos!AB9)),IF(J_V="SI",Datos!L9,Datos!L9+Datos!AB9)," - ")</f>
        <v>12405</v>
      </c>
      <c r="J9" s="403">
        <f>IF(ISNUMBER(I9/B9),I9/B9," - ")</f>
        <v>2067.5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185</v>
      </c>
      <c r="D10" s="403">
        <f>IF(ISNUMBER(C10/Datos!BH10),C10/Datos!BH10," - ")</f>
        <v>185</v>
      </c>
      <c r="E10" s="402">
        <f>IF(ISNUMBER(Datos!J10),Datos!J10," - ")</f>
        <v>47</v>
      </c>
      <c r="F10" s="403">
        <f>IF(ISNUMBER(E10/B10),E10/B10," - ")</f>
        <v>47</v>
      </c>
      <c r="G10" s="402">
        <f>IF(ISNUMBER(Datos!K10),Datos!K10," - ")</f>
        <v>53</v>
      </c>
      <c r="H10" s="403">
        <f>IF(ISNUMBER(G10/B10),G10/B10," - ")</f>
        <v>53</v>
      </c>
      <c r="I10" s="402">
        <f>IF(ISNUMBER(Datos!L10),Datos!L10," - ")</f>
        <v>179</v>
      </c>
      <c r="J10" s="403">
        <f>IF(ISNUMBER(I10/B10),I10/B10," - ")</f>
        <v>179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12461</v>
      </c>
      <c r="D13" s="847" t="str">
        <f>IF(ISNUMBER(C13/Datos!BI13),C13/Datos!BI13," - ")</f>
        <v xml:space="preserve"> - </v>
      </c>
      <c r="E13" s="846">
        <f>SUBTOTAL(9,E8:E12)</f>
        <v>2886</v>
      </c>
      <c r="F13" s="847">
        <f>IF(ISNUMBER(E13/B13),E13/B13," - ")</f>
        <v>412.28571428571428</v>
      </c>
      <c r="G13" s="846">
        <f>SUBTOTAL(9,G8:G12)</f>
        <v>2682</v>
      </c>
      <c r="H13" s="847">
        <f>IF(ISNUMBER(G13/B13),G13/B13," - ")</f>
        <v>383.14285714285717</v>
      </c>
      <c r="I13" s="846">
        <f>SUBTOTAL(9,I8:I12)</f>
        <v>12584</v>
      </c>
      <c r="J13" s="847">
        <f>IF(ISNUMBER(I13/B13),I13/B13," - ")</f>
        <v>1797.7142857142858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3388</v>
      </c>
      <c r="D15" s="403">
        <f>IF(ISNUMBER(C15/Datos!BH15),C15/Datos!BH15," - ")</f>
        <v>1129.3333333333333</v>
      </c>
      <c r="E15" s="402">
        <f>IF(ISNUMBER(IF(D_I="SI",Datos!J15,Datos!J15+Datos!AD15)),IF(D_I="SI",Datos!J15,Datos!J15+Datos!AD15)," - ")</f>
        <v>2271</v>
      </c>
      <c r="F15" s="403">
        <f>IF(ISNUMBER(E15/B15),E15/B15," - ")</f>
        <v>757</v>
      </c>
      <c r="G15" s="402">
        <f>IF(ISNUMBER(IF(D_I="SI",Datos!K15,Datos!K15+Datos!AE15)),IF(D_I="SI",Datos!K15,Datos!K15+Datos!AE15)," - ")</f>
        <v>2391</v>
      </c>
      <c r="H15" s="403">
        <f>IF(ISNUMBER(G15/B15),G15/B15," - ")</f>
        <v>797</v>
      </c>
      <c r="I15" s="402">
        <f>IF(ISNUMBER(IF(D_I="SI",Datos!L15,Datos!L15+Datos!AF15)),IF(D_I="SI",Datos!L15,Datos!L15+Datos!AF15)," - ")</f>
        <v>3302</v>
      </c>
      <c r="J15" s="403">
        <f>IF(ISNUMBER(I15/B15),I15/B15," - ")</f>
        <v>1100.6666666666667</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329</v>
      </c>
      <c r="D18" s="403">
        <f>IF(ISNUMBER(C18/Datos!BH18),C18/Datos!BH18," - ")</f>
        <v>329</v>
      </c>
      <c r="E18" s="402">
        <f>IF(ISNUMBER(IF(D_I="SI",Datos!J18,Datos!J18+Datos!AD18)),IF(D_I="SI",Datos!J18,Datos!J18+Datos!AD18)," - ")</f>
        <v>393</v>
      </c>
      <c r="F18" s="403">
        <f>IF(ISNUMBER(E18/B18),E18/B18," - ")</f>
        <v>393</v>
      </c>
      <c r="G18" s="402">
        <f>IF(ISNUMBER(IF(D_I="SI",Datos!K18,Datos!K18+Datos!AE18)),IF(D_I="SI",Datos!K18,Datos!K18+Datos!AE18)," - ")</f>
        <v>384</v>
      </c>
      <c r="H18" s="403">
        <f>IF(ISNUMBER(G18/B18),G18/B18," - ")</f>
        <v>384</v>
      </c>
      <c r="I18" s="402">
        <f>IF(ISNUMBER(IF(D_I="SI",Datos!L18,Datos!L18+Datos!AF18)),IF(D_I="SI",Datos!L18,Datos!L18+Datos!AF18)," - ")</f>
        <v>340</v>
      </c>
      <c r="J18" s="403">
        <f>IF(ISNUMBER(I18/B18),I18/B18," - ")</f>
        <v>340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3717</v>
      </c>
      <c r="D19" s="847" t="str">
        <f>IF(ISNUMBER(C19/Datos!BI19),C19/Datos!BI19," - ")</f>
        <v xml:space="preserve"> - </v>
      </c>
      <c r="E19" s="846">
        <f>SUBTOTAL(9,E14:E18)</f>
        <v>2664</v>
      </c>
      <c r="F19" s="847">
        <f>IF(ISNUMBER(E19/B19),E19/B19," - ")</f>
        <v>666</v>
      </c>
      <c r="G19" s="846">
        <f>SUBTOTAL(9,G14:G18)</f>
        <v>2775</v>
      </c>
      <c r="H19" s="847">
        <f>IF(ISNUMBER(G19/B19),G19/B19," - ")</f>
        <v>693.75</v>
      </c>
      <c r="I19" s="846">
        <f>SUBTOTAL(9,I14:I18)</f>
        <v>3642</v>
      </c>
      <c r="J19" s="847">
        <f>IF(ISNUMBER(I19/B19),I19/B19," - ")</f>
        <v>910.5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16178</v>
      </c>
      <c r="D20" s="792" t="str">
        <f>IF(ISNUMBER(C20/Datos!BI20),C20/Datos!BI20," - ")</f>
        <v xml:space="preserve"> - </v>
      </c>
      <c r="E20" s="791">
        <f>SUBTOTAL(9,E9:E19)</f>
        <v>5550</v>
      </c>
      <c r="F20" s="792">
        <f>IF(ISNUMBER(E20/B20),E20/B20," - ")</f>
        <v>555</v>
      </c>
      <c r="G20" s="791">
        <f>SUBTOTAL(9,G9:G19)</f>
        <v>5457</v>
      </c>
      <c r="H20" s="792">
        <f>IF(ISNUMBER(G20/B20),G20/B20," - ")</f>
        <v>545.70000000000005</v>
      </c>
      <c r="I20" s="791">
        <f>SUBTOTAL(9,I9:I19)</f>
        <v>16226</v>
      </c>
      <c r="J20" s="792">
        <f>IF(ISNUMBER(I20/B20),I20/B20," - ")</f>
        <v>1622.6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Edaq1xlkBYWv5M7zrDDhqLi5Uj7FLs6K8zvgzjW5cZIe5MCdL0XMqUb/sqx0nsK5avdwNZv/9qsOWsU4W8Z7TQ==" saltValue="bFa2SNAEZZqUxex1Odu9s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ORIHUELA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185</v>
      </c>
      <c r="G10" s="681">
        <f>IF(ISNUMBER(Datos!I10),Datos!I10," - ")</f>
        <v>185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53</v>
      </c>
      <c r="AC10" s="680" t="str">
        <f>IF(ISNUMBER(IF(D_I="SI",DatosP!K18,DatosP!K18+DatosP!AE18)),IF(D_I="SI",DatosP!K18,DatosP!K18+DatosP!AE18)," - ")</f>
        <v xml:space="preserve"> - </v>
      </c>
      <c r="AD10" s="682"/>
      <c r="AE10" s="682"/>
      <c r="AF10" s="685">
        <f>IF(ISNUMBER(Datos!L10),Datos!L10,"-")</f>
        <v>179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19</v>
      </c>
      <c r="AM10" s="687">
        <f>IF(ISNUMBER(Datos!N10+DatosP!N18),Datos!N10+DatosP!N18," - ")</f>
        <v>16</v>
      </c>
      <c r="AN10" s="687">
        <f>IF(ISNUMBER(Datos!BW10+DatosP!BW18),Datos!BW10+DatosP!BW18," - ")</f>
        <v>0</v>
      </c>
      <c r="AO10" s="688">
        <f>IF(ISNUMBER(Datos!BX10+DatosP!BX18),Datos!BX10+DatosP!BX18," - ")</f>
        <v>0</v>
      </c>
      <c r="AP10" s="690">
        <f>IF(ISNUMBER(((Datos!L10/Datos!K10)*11)/factor_trimestre),((Datos!L10/Datos!K10)*11)/factor_trimestre," - ")</f>
        <v>10.132075471698114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185</v>
      </c>
      <c r="G13" s="933">
        <f t="shared" si="0"/>
        <v>185</v>
      </c>
      <c r="H13" s="933">
        <f t="shared" si="0"/>
        <v>0</v>
      </c>
      <c r="I13" s="935">
        <f t="shared" si="0"/>
        <v>0</v>
      </c>
      <c r="J13" s="934">
        <f t="shared" si="0"/>
        <v>0</v>
      </c>
      <c r="K13" s="934">
        <f t="shared" si="0"/>
        <v>0</v>
      </c>
      <c r="L13" s="936">
        <f t="shared" si="0"/>
        <v>0</v>
      </c>
      <c r="M13" s="936">
        <f t="shared" si="0"/>
        <v>0</v>
      </c>
      <c r="N13" s="934">
        <f t="shared" si="0"/>
        <v>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53</v>
      </c>
      <c r="AC13" s="934">
        <f t="shared" si="1"/>
        <v>0</v>
      </c>
      <c r="AD13" s="934">
        <f t="shared" si="1"/>
        <v>0</v>
      </c>
      <c r="AE13" s="934">
        <f t="shared" si="1"/>
        <v>0</v>
      </c>
      <c r="AF13" s="934">
        <f t="shared" si="1"/>
        <v>179</v>
      </c>
      <c r="AG13" s="934">
        <f t="shared" si="1"/>
        <v>0</v>
      </c>
      <c r="AH13" s="934">
        <f t="shared" si="1"/>
        <v>0</v>
      </c>
      <c r="AI13" s="934">
        <f t="shared" si="1"/>
        <v>0</v>
      </c>
      <c r="AJ13" s="934">
        <f t="shared" si="1"/>
        <v>0</v>
      </c>
      <c r="AK13" s="934">
        <f t="shared" si="1"/>
        <v>0</v>
      </c>
      <c r="AL13" s="934">
        <f t="shared" si="1"/>
        <v>19</v>
      </c>
      <c r="AM13" s="934">
        <f t="shared" si="1"/>
        <v>16</v>
      </c>
      <c r="AN13" s="934">
        <f t="shared" si="1"/>
        <v>0</v>
      </c>
      <c r="AO13" s="934">
        <f t="shared" si="1"/>
        <v>0</v>
      </c>
      <c r="AP13" s="939">
        <f>IF(ISNUMBER(((Datos!L13/Datos!K13)*11)/factor_trimestre),((Datos!L13/Datos!K13)*11)/factor_trimestre," - ")</f>
        <v>14.970612244897959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-0.2864864864864865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3.937297297297297</v>
      </c>
      <c r="AQ19" s="939">
        <f>IF(ISNUMBER(((Datos!M19/Datos!L19)*11)/factor_trimestre),((Datos!M19/Datos!L19)*11)/factor_trimestre," - ")</f>
        <v>0.4678747940691928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-0.11306532663316583</v>
      </c>
      <c r="AW19" s="941">
        <f>IF(ISNUMBER((Datos!Q19-Datos!R19)/(Datos!S19-Datos!Q19+Datos!R19)),(Datos!Q19-Datos!R19)/(Datos!S19-Datos!Q19+Datos!R19)," - ")</f>
        <v>-4.0572171651495452E-2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185</v>
      </c>
      <c r="G20" s="946">
        <f t="shared" si="4"/>
        <v>185</v>
      </c>
      <c r="H20" s="946">
        <f t="shared" si="4"/>
        <v>0</v>
      </c>
      <c r="I20" s="947">
        <f t="shared" si="4"/>
        <v>0</v>
      </c>
      <c r="J20" s="948">
        <f t="shared" si="4"/>
        <v>0</v>
      </c>
      <c r="K20" s="948">
        <f t="shared" si="4"/>
        <v>0</v>
      </c>
      <c r="L20" s="948">
        <f t="shared" si="4"/>
        <v>0</v>
      </c>
      <c r="M20" s="948">
        <f t="shared" si="4"/>
        <v>0</v>
      </c>
      <c r="N20" s="947">
        <f t="shared" si="4"/>
        <v>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53</v>
      </c>
      <c r="AC20" s="952">
        <f t="shared" si="5"/>
        <v>0</v>
      </c>
      <c r="AD20" s="952">
        <f t="shared" si="5"/>
        <v>0</v>
      </c>
      <c r="AE20" s="952">
        <f t="shared" si="5"/>
        <v>0</v>
      </c>
      <c r="AF20" s="953">
        <f t="shared" si="5"/>
        <v>179</v>
      </c>
      <c r="AG20" s="953">
        <f t="shared" si="5"/>
        <v>0</v>
      </c>
      <c r="AH20" s="953">
        <f t="shared" si="5"/>
        <v>0</v>
      </c>
      <c r="AI20" s="953">
        <f t="shared" si="5"/>
        <v>0</v>
      </c>
      <c r="AJ20" s="954">
        <f t="shared" si="5"/>
        <v>0</v>
      </c>
      <c r="AK20" s="954">
        <f t="shared" si="5"/>
        <v>0</v>
      </c>
      <c r="AL20" s="946">
        <f t="shared" si="5"/>
        <v>19</v>
      </c>
      <c r="AM20" s="946">
        <f t="shared" si="5"/>
        <v>16</v>
      </c>
      <c r="AN20" s="946">
        <f t="shared" si="5"/>
        <v>0</v>
      </c>
      <c r="AO20" s="946">
        <f t="shared" si="5"/>
        <v>0</v>
      </c>
      <c r="AP20" s="946">
        <f>IF(ISNUMBER(((Datos!L20/Datos!K20)*11)/factor_trimestre),((Datos!L20/Datos!K20)*11)/factor_trimestre," - ")</f>
        <v>9.1108133971291885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-0.2864864864864865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1.6106052158830454E-3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3.2659863237109041</v>
      </c>
      <c r="F22" s="733">
        <f>IF(ISNUMBER(STDEV(F8:F19)),STDEV(F8:F19),"-")</f>
        <v>106.80979980008077</v>
      </c>
      <c r="G22" s="734">
        <f>IF(ISNUMBER(STDEV(G8:G19)),STDEV(G8:G19),"-")</f>
        <v>106.80979980008077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30.599564267050166</v>
      </c>
      <c r="AC22" s="735">
        <f>IF(ISNUMBER(STDEV(AC8:AC19)),STDEV(AC8:AC19),"-")</f>
        <v>0</v>
      </c>
      <c r="AD22" s="738"/>
      <c r="AE22" s="738"/>
      <c r="AF22" s="738"/>
      <c r="AG22" s="738"/>
      <c r="AH22" s="738"/>
      <c r="AI22" s="738"/>
      <c r="AJ22" s="739">
        <f>IF(ISNUMBER(STDEV(AJ8:AJ19)),STDEV(AJ8:AJ19),"-")</f>
        <v>0</v>
      </c>
      <c r="AK22" s="741"/>
      <c r="AL22" s="733">
        <f>IF(ISNUMBER(STDEV(AL8:AL19)),STDEV(AL8:AL19),"-")</f>
        <v>10.96965511460289</v>
      </c>
      <c r="AM22" s="733"/>
      <c r="AN22" s="733">
        <f>IF(ISNUMBER(STDEV(AN8:AN19)),STDEV(AN8:AN19),"-")</f>
        <v>0</v>
      </c>
      <c r="AO22" s="739">
        <f>IF(ISNUMBER(STDEV(AO8:AO19)),STDEV(AO8:AO19),"-")</f>
        <v>0</v>
      </c>
      <c r="AP22" s="776">
        <f>IF(ISNUMBER(STDEV(AP8:AP19)),STDEV(AP8:AP19),"-")</f>
        <v>5.5305327270313356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ZQQ+qY0wHX7I5vhCuD3g7T/tKcxgYoBd+iC4wLMfA0/XAQEAvXIER2AufVFFsn13seyaa9+rNvc7VCf4M/wtA==" saltValue="zqckIbkJIIIFcpr6b/yz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ORIHUELA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239</v>
      </c>
      <c r="O9" s="333"/>
      <c r="P9" s="333"/>
      <c r="Q9" s="225">
        <f>IF(ISNUMBER(Datos!P9),Datos!P9,0)</f>
        <v>745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683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358</v>
      </c>
      <c r="AI9" s="224" t="str">
        <f>IF(ISNUMBER(Datos!CD9),Datos!CD9,"-")</f>
        <v>-</v>
      </c>
      <c r="AJ9" s="1214" t="str">
        <f>IF(ISNUMBER(Datos!EN9),Datos!EN9," - ")</f>
        <v xml:space="preserve"> - </v>
      </c>
      <c r="AK9" s="333"/>
      <c r="AL9" s="478"/>
      <c r="AM9" s="1214">
        <f>IF(ISNUMBER(Datos!R9),Datos!R9," - ")</f>
        <v>15661</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694</v>
      </c>
      <c r="BD9" s="228">
        <f>IF(ISNUMBER(Datos!N9),Datos!N9," - ")</f>
        <v>978</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0.9260302923564635</v>
      </c>
      <c r="BH9" s="1214">
        <f>IF(ISNUMBER(((IF(J_V="SI",Datos!L9/Datos!K9,(Datos!L9+Datos!AB9)/(Datos!K9+Datos!AA9)))*11)/factor_trimestre),((IF(J_V="SI",Datos!L9/Datos!K9,(Datos!L9+Datos!AB9)/(Datos!K9+Datos!AA9)))*11)/factor_trimestre," - ")</f>
        <v>14.155572461011793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3.9746137572921345E-3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982.30773689372836</v>
      </c>
      <c r="CF9" s="228">
        <f ca="1">AVERAGEIFS($AB:$AB,$BW:$BW,BW9,$BX:$BX,BX9)</f>
        <v>982.30773689372836</v>
      </c>
      <c r="CG9" s="1191">
        <v>0.7</v>
      </c>
      <c r="CH9" s="1191">
        <f ca="1">AVERAGEIF($BW:$BW,$BW9,$AC:$AC)</f>
        <v>264.89999999999998</v>
      </c>
      <c r="CI9" s="228">
        <f ca="1">AVERAGEIFS($AC:$AC,$BW:$BW,$BW9,$BX:$BX,$BX9)</f>
        <v>264.89999999999998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1273.6666666666667</v>
      </c>
      <c r="CR9" s="228">
        <f ca="1">AVERAGEIFS($AF:$AF,$BW:$BW,BW9,$BX:$BX,BX9)</f>
        <v>1273.6666666666667</v>
      </c>
      <c r="CS9" s="1191">
        <v>1.3</v>
      </c>
      <c r="CT9" s="1191">
        <v>1.5</v>
      </c>
      <c r="CU9" s="1191">
        <f ca="1">AVERAGEIF($BW:$BW,$BW9,$AH:$AH)</f>
        <v>153.42857142857142</v>
      </c>
      <c r="CV9" s="228">
        <f ca="1">AVERAGEIFS($AH:$AH,$BW:$BW,$BW9,$BX:$BX,$BX9)</f>
        <v>153.42857142857142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4850.7</v>
      </c>
      <c r="DH9" s="1218">
        <f ca="1">AVERAGEIFS($AM:$AM,$BW:$BW,$BW9,$BX:$BX,$BX9)</f>
        <v>4850.7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5.8716695193750637</v>
      </c>
      <c r="ER9" s="1218">
        <f ca="1">AVERAGEIFS($BH:$BH,$BW:$BW,$BW9,$BX:$BX,$BX9)</f>
        <v>5.8716695193750637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185</v>
      </c>
      <c r="G10" s="332">
        <f>IF(ISNUMBER(Datos!I10),Datos!I10," - ")</f>
        <v>185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53</v>
      </c>
      <c r="AC10" s="224">
        <f>IF(ISNUMBER(Datos!Q10),Datos!Q10," - ")</f>
        <v>3</v>
      </c>
      <c r="AD10" s="224"/>
      <c r="AE10" s="224"/>
      <c r="AF10" s="224">
        <f>IF(ISNUMBER(Datos!L10),Datos!L10,"-")</f>
        <v>179</v>
      </c>
      <c r="AG10" s="333"/>
      <c r="AH10" s="224"/>
      <c r="AI10" s="224"/>
      <c r="AJ10" s="1214"/>
      <c r="AK10" s="333"/>
      <c r="AL10" s="478"/>
      <c r="AM10" s="1214">
        <f>IF(ISNUMBER(Datos!R10),Datos!R10," - ")</f>
        <v>155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19</v>
      </c>
      <c r="BD10" s="228">
        <f>IF(ISNUMBER(Datos!N10),Datos!N10," - ")</f>
        <v>16</v>
      </c>
      <c r="BE10" s="1214" t="str">
        <f>IF(ISNUMBER(Datos!BW10),Datos!BW10," - ")</f>
        <v xml:space="preserve"> - </v>
      </c>
      <c r="BF10" s="1214" t="str">
        <f>IF(ISNUMBER(Datos!BX10),Datos!BX10," - ")</f>
        <v xml:space="preserve"> - </v>
      </c>
      <c r="BG10" s="242">
        <f>IF(ISNUMBER(Datos!K10/Datos!J10),Datos!K10/Datos!J10," - ")</f>
        <v>1.1276595744680851</v>
      </c>
      <c r="BH10" s="1214">
        <f>IF(ISNUMBER(((Datos!L10/Datos!K10)*11)/factor_trimestre),((Datos!L10/Datos!K10)*11)/factor_trimestre," - ")</f>
        <v>10.132075471698114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6.1643835616438353E-2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982.30773689372836</v>
      </c>
      <c r="CF10" s="228">
        <f ca="1">AVERAGEIFS($AB:$AB,$BW:$BW,BW10,$BX:$BX,BX10)</f>
        <v>982.30773689372836</v>
      </c>
      <c r="CG10" s="1191">
        <v>0.7</v>
      </c>
      <c r="CH10" s="1191">
        <f ca="1">AVERAGEIF($BW:$BW,BW10,$AC:$AC)</f>
        <v>264.89999999999998</v>
      </c>
      <c r="CI10" s="228">
        <f ca="1">AVERAGEIFS($AC:$AC,$BW:$BW,BW10,$BX:$BX,BX10)</f>
        <v>264.89999999999998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1273.6666666666667</v>
      </c>
      <c r="CR10" s="228">
        <f ca="1">AVERAGEIFS($AF:$AF,$BW:$BW,BW10,$BX:$BX,BX10)</f>
        <v>1273.6666666666667</v>
      </c>
      <c r="CS10" s="1191">
        <v>1.3</v>
      </c>
      <c r="CT10" s="1191">
        <v>1.5</v>
      </c>
      <c r="CU10" s="1191">
        <f ca="1">AVERAGEIF($BW:$BW,$BW10,$AH:$AH)</f>
        <v>153.42857142857142</v>
      </c>
      <c r="CV10" s="228">
        <f ca="1">AVERAGEIFS($AH:$AH,$BW:$BW,$BW10,$BX:$BX,$BX10)</f>
        <v>153.42857142857142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4850.7</v>
      </c>
      <c r="DH10" s="1218">
        <f ca="1">AVERAGEIFS($AM:$AM,$BW:$BW,$BW10,$BX:$BX,$BX10)</f>
        <v>4850.7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5.8716695193750637</v>
      </c>
      <c r="ER10" s="1218">
        <f ca="1">AVERAGEIFS($BH:$BH,$BW:$BW,$BW10,$BX:$BX,$BX10)</f>
        <v>5.8716695193750637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982.30773689372836</v>
      </c>
      <c r="CF11" s="228">
        <f ca="1">AVERAGEIFS($AB:$AB,$BW:$BW,BW11,$BX:$BX,BX11)</f>
        <v>982.30773689372836</v>
      </c>
      <c r="CG11" s="1191">
        <v>0.7</v>
      </c>
      <c r="CH11" s="1191">
        <f ca="1">AVERAGEIF($BW:$BW,BW11,$AC:$AC)</f>
        <v>264.89999999999998</v>
      </c>
      <c r="CI11" s="228">
        <f ca="1">AVERAGEIFS($AC:$AC,$BW:$BW,BW11,$BX:$BX,BX11)</f>
        <v>264.89999999999998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1273.6666666666667</v>
      </c>
      <c r="CR11" s="228">
        <f ca="1">AVERAGEIFS($AF:$AF,$BW:$BW,BW11,$BX:$BX,BX11)</f>
        <v>1273.6666666666667</v>
      </c>
      <c r="CS11" s="1191">
        <v>1.3</v>
      </c>
      <c r="CT11" s="1191">
        <v>1.5</v>
      </c>
      <c r="CU11" s="1191">
        <f ca="1">AVERAGEIF($BW:$BW,$BW11,$AH:$AH)</f>
        <v>153.42857142857142</v>
      </c>
      <c r="CV11" s="228">
        <f ca="1">AVERAGEIFS($AH:$AH,$BW:$BW,$BW11,$BX:$BX,$BX11)</f>
        <v>153.42857142857142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4850.7</v>
      </c>
      <c r="DH11" s="1218">
        <f ca="1">AVERAGEIFS($AM:$AM,$BW:$BW,$BW11,$BX:$BX,$BX11)</f>
        <v>4850.7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5.8716695193750637</v>
      </c>
      <c r="ER11" s="1218">
        <f ca="1">AVERAGEIFS($BH:$BH,$BW:$BW,$BW11,$BX:$BX,$BX11)</f>
        <v>5.8716695193750637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982.30773689372836</v>
      </c>
      <c r="CF12" s="228">
        <f ca="1">AVERAGEIFS($AB:$AB,$BW:$BW,BW12,$BX:$BX,BX12)</f>
        <v>982.30773689372836</v>
      </c>
      <c r="CG12" s="1191">
        <v>0.7</v>
      </c>
      <c r="CH12" s="1191">
        <f ca="1">AVERAGEIF($BW:$BW,BW12,$AC:$AC)</f>
        <v>264.89999999999998</v>
      </c>
      <c r="CI12" s="228">
        <f ca="1">AVERAGEIFS($AC:$AC,$BW:$BW,BW12,$BX:$BX,BX12)</f>
        <v>264.89999999999998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1273.6666666666667</v>
      </c>
      <c r="CR12" s="228">
        <f ca="1">AVERAGEIFS($AF:$AF,$BW:$BW,BW12,$BX:$BX,BX12)</f>
        <v>1273.6666666666667</v>
      </c>
      <c r="CS12" s="1191">
        <v>1.3</v>
      </c>
      <c r="CT12" s="1191">
        <v>1.5</v>
      </c>
      <c r="CU12" s="1191">
        <f ca="1">AVERAGEIF($BW:$BW,$BW12,$AH:$AH)</f>
        <v>153.42857142857142</v>
      </c>
      <c r="CV12" s="228">
        <f ca="1">AVERAGEIFS($AH:$AH,$BW:$BW,$BW12,$BX:$BX,$BX12)</f>
        <v>153.42857142857142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4850.7</v>
      </c>
      <c r="DH12" s="1218">
        <f ca="1">AVERAGEIFS($AM:$AM,$BW:$BW,$BW12,$BX:$BX,$BX12)</f>
        <v>4850.7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5.8716695193750637</v>
      </c>
      <c r="ER12" s="1218">
        <f ca="1">AVERAGEIFS($BH:$BH,$BW:$BW,$BW12,$BX:$BX,$BX12)</f>
        <v>5.8716695193750637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185</v>
      </c>
      <c r="G13" s="895">
        <f t="shared" si="1"/>
        <v>185</v>
      </c>
      <c r="H13" s="896">
        <f t="shared" si="1"/>
        <v>0</v>
      </c>
      <c r="I13" s="895">
        <f t="shared" si="1"/>
        <v>0</v>
      </c>
      <c r="J13" s="864">
        <f t="shared" si="1"/>
        <v>0</v>
      </c>
      <c r="K13" s="864">
        <f t="shared" si="1"/>
        <v>0</v>
      </c>
      <c r="L13" s="896">
        <f t="shared" si="1"/>
        <v>0</v>
      </c>
      <c r="M13" s="896">
        <f t="shared" si="1"/>
        <v>0</v>
      </c>
      <c r="N13" s="896">
        <f t="shared" si="1"/>
        <v>239</v>
      </c>
      <c r="O13" s="897">
        <f t="shared" si="1"/>
        <v>0</v>
      </c>
      <c r="P13" s="897">
        <f t="shared" si="1"/>
        <v>0</v>
      </c>
      <c r="Q13" s="896">
        <f t="shared" si="1"/>
        <v>757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53</v>
      </c>
      <c r="AC13" s="896">
        <f t="shared" si="2"/>
        <v>686</v>
      </c>
      <c r="AD13" s="896">
        <f t="shared" si="2"/>
        <v>0</v>
      </c>
      <c r="AE13" s="896">
        <f t="shared" si="2"/>
        <v>0</v>
      </c>
      <c r="AF13" s="896">
        <f t="shared" si="2"/>
        <v>179</v>
      </c>
      <c r="AG13" s="896">
        <f t="shared" si="2"/>
        <v>0</v>
      </c>
      <c r="AH13" s="896">
        <f t="shared" si="2"/>
        <v>358</v>
      </c>
      <c r="AI13" s="896">
        <f t="shared" si="2"/>
        <v>0</v>
      </c>
      <c r="AJ13" s="896">
        <f t="shared" si="2"/>
        <v>0</v>
      </c>
      <c r="AK13" s="896">
        <f t="shared" si="2"/>
        <v>0</v>
      </c>
      <c r="AL13" s="896">
        <f t="shared" si="2"/>
        <v>0</v>
      </c>
      <c r="AM13" s="896">
        <f t="shared" si="2"/>
        <v>15816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713</v>
      </c>
      <c r="BD13" s="896">
        <f t="shared" si="2"/>
        <v>994</v>
      </c>
      <c r="BE13" s="896">
        <f t="shared" si="2"/>
        <v>0</v>
      </c>
      <c r="BF13" s="896">
        <f t="shared" si="2"/>
        <v>0</v>
      </c>
      <c r="BG13" s="896">
        <f>IF(ISNUMBER(Datos!K13/Datos!J13),Datos!K13/Datos!J13," - ")</f>
        <v>0.92557612391386479</v>
      </c>
      <c r="BH13" s="900">
        <f>IF(ISNUMBER(((Datos!L13/Datos!K13)*11)/factor_trimestre),((Datos!L13/Datos!K13)*11)/factor_trimestre," - ")</f>
        <v>14.970612244897959</v>
      </c>
      <c r="BI13" s="896">
        <f>IF(ISNUMBER('Resol  Asuntos'!D13/NºAsuntos!G13),'Resol  Asuntos'!D13/NºAsuntos!G13," - ")</f>
        <v>0.26584638329604771</v>
      </c>
      <c r="BJ13" s="896" t="str">
        <f>IF(ISNUMBER(Datos!CI13/Datos!CJ13),Datos!CI13/Datos!CJ13," - ")</f>
        <v xml:space="preserve"> - </v>
      </c>
      <c r="BK13" s="896">
        <f>SUBTOTAL(9,BK8:BK12)</f>
        <v>0</v>
      </c>
      <c r="BL13" s="896">
        <f>IF(ISNUMBER((I13-AB13+L13)/(F13)),(I13-AB13+L13)/(F13)," - ")</f>
        <v>-0.2864864864864865</v>
      </c>
      <c r="BM13" s="901">
        <f>SUBTOTAL(9,BM9:BM12)</f>
        <v>6.5618449373730486E-2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3422</v>
      </c>
      <c r="G15" s="596">
        <f>IF(ISNUMBER(IF(D_I="SI",Datos!I15,Datos!I15+Datos!AC15)),IF(D_I="SI",Datos!I15,Datos!I15+Datos!AC15)," - ")</f>
        <v>3388</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140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2391</v>
      </c>
      <c r="AC15" s="224">
        <f>IF(ISNUMBER(Datos!Q15),Datos!Q15," - ")</f>
        <v>173</v>
      </c>
      <c r="AD15" s="224"/>
      <c r="AE15" s="224"/>
      <c r="AF15" s="224">
        <f>IF(ISNUMBER(IF(D_I="SI",Datos!L15,Datos!L15+Datos!AF15)),IF(D_I="SI",Datos!L15,Datos!L15+Datos!AF15)," - ")</f>
        <v>3302</v>
      </c>
      <c r="AG15" s="333"/>
      <c r="AH15" s="224"/>
      <c r="AI15" s="224"/>
      <c r="AJ15" s="1214"/>
      <c r="AK15" s="333"/>
      <c r="AL15" s="478"/>
      <c r="AM15" s="1214">
        <f>IF(ISNUMBER(Datos!R15),Datos!R15," - ")</f>
        <v>339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492</v>
      </c>
      <c r="BD15" s="228">
        <f>IF(ISNUMBER(Datos!N15),Datos!N15," - ")</f>
        <v>1235</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1.0528401585204756</v>
      </c>
      <c r="BH15" s="1214">
        <f>IF(ISNUMBER(((IF(D_I="SI",Datos!L15/Datos!K15,(Datos!L15+Datos!AF15)/(Datos!K15+Datos!AE15)))*11)/factor_trimestre),((IF(D_I="SI",Datos!L15/Datos!K15,(Datos!L15+Datos!AF15)/(Datos!K15+Datos!AE15)))*11)/factor_trimestre," - ")</f>
        <v>4.1430363864491841</v>
      </c>
      <c r="BI15" s="242">
        <f>IF(ISNUMBER('Resol  Asuntos'!D15/NºAsuntos!G15),'Resol  Asuntos'!D15/NºAsuntos!G15," - ")</f>
        <v>0.20577164366373901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982.30773689372836</v>
      </c>
      <c r="CF15" s="228">
        <f ca="1">AVERAGEIFS($AB:$AB,$BW:$BW,BW15,$BX:$BX,BX15)</f>
        <v>982.30773689372836</v>
      </c>
      <c r="CG15" s="1191">
        <v>0.7</v>
      </c>
      <c r="CH15" s="1191">
        <f ca="1">AVERAGEIF($BW:$BW,BW15,$AC:$AC)</f>
        <v>264.89999999999998</v>
      </c>
      <c r="CI15" s="228">
        <f ca="1">AVERAGEIFS($AC:$AC,$BW:$BW,BW15,$BX:$BX,BX15)</f>
        <v>264.89999999999998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1273.6666666666667</v>
      </c>
      <c r="CR15" s="228">
        <f ca="1">AVERAGEIFS($AF:$AF,$BW:$BW,BW15,$BX:$BX,BX15)</f>
        <v>1273.6666666666667</v>
      </c>
      <c r="CS15" s="1191">
        <v>1.3</v>
      </c>
      <c r="CT15" s="1191">
        <v>1.5</v>
      </c>
      <c r="CU15" s="1191">
        <f ca="1">AVERAGEIF($BW:$BW,$BW15,$AH:$AH)</f>
        <v>153.42857142857142</v>
      </c>
      <c r="CV15" s="228">
        <f ca="1">AVERAGEIFS($AH:$AH,$BW:$BW,$BW15,$BX:$BX,$BX15)</f>
        <v>153.42857142857142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4850.7</v>
      </c>
      <c r="DH15" s="1218">
        <f ca="1">AVERAGEIFS($AM:$AM,$BW:$BW,$BW15,$BX:$BX,$BX15)</f>
        <v>4850.7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5.8716695193750637</v>
      </c>
      <c r="ER15" s="1218">
        <f ca="1">AVERAGEIFS($BH:$BH,$BW:$BW,$BW15,$BX:$BX,$BX15)</f>
        <v>5.8716695193750637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982.30773689372836</v>
      </c>
      <c r="CF16" s="1218">
        <f ca="1">AVERAGEIFS($AB:$AB,$BW:$BW,BW16,$BX:$BX,BX16)</f>
        <v>982.30773689372836</v>
      </c>
      <c r="CG16" s="1191">
        <v>0.7</v>
      </c>
      <c r="CH16" s="1191">
        <f ca="1">AVERAGEIF($BW:$BW,BW16,$AC:$AC)</f>
        <v>264.89999999999998</v>
      </c>
      <c r="CI16" s="1218">
        <f ca="1">AVERAGEIFS($AC:$AC,$BW:$BW,BW16,$BX:$BX,BX16)</f>
        <v>264.89999999999998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1273.6666666666667</v>
      </c>
      <c r="CR16" s="1218">
        <f ca="1">AVERAGEIFS($AF:$AF,$BW:$BW,BW16,$BX:$BX,BX16)</f>
        <v>1273.6666666666667</v>
      </c>
      <c r="CS16" s="1191">
        <v>1.3</v>
      </c>
      <c r="CT16" s="1191">
        <v>1.5</v>
      </c>
      <c r="CU16" s="1191">
        <f ca="1">AVERAGEIF($BW:$BW,$BW16,$AH:$AH)</f>
        <v>153.42857142857142</v>
      </c>
      <c r="CV16" s="1218">
        <f ca="1">AVERAGEIFS($AH:$AH,$BW:$BW,$BW16,$BX:$BX,$BX16)</f>
        <v>153.42857142857142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4850.7</v>
      </c>
      <c r="DH16" s="1218">
        <f ca="1">AVERAGEIFS($AM:$AM,$BW:$BW,$BW16,$BX:$BX,$BX16)</f>
        <v>4850.7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5.8716695193750637</v>
      </c>
      <c r="ER16" s="1218">
        <f ca="1">AVERAGEIFS($BH:$BH,$BW:$BW,$BW16,$BX:$BX,$BX16)</f>
        <v>5.8716695193750637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982.30773689372836</v>
      </c>
      <c r="CF17" s="228">
        <f ca="1">AVERAGEIFS($AB:$AB,$BW:$BW,BW17,$BX:$BX,BX17)</f>
        <v>982.30773689372836</v>
      </c>
      <c r="CG17" s="1191">
        <v>0.7</v>
      </c>
      <c r="CH17" s="1191">
        <f ca="1">AVERAGEIF($BW:$BW,BW17,$AC:$AC)</f>
        <v>264.89999999999998</v>
      </c>
      <c r="CI17" s="228">
        <f ca="1">AVERAGEIFS($AC:$AC,$BW:$BW,BW17,$BX:$BX,BX17)</f>
        <v>264.89999999999998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1273.6666666666667</v>
      </c>
      <c r="CR17" s="228">
        <f ca="1">AVERAGEIFS($AF:$AF,$BW:$BW,BW17,$BX:$BX,BX17)</f>
        <v>1273.6666666666667</v>
      </c>
      <c r="CS17" s="1191">
        <v>1.3</v>
      </c>
      <c r="CT17" s="1191">
        <v>1.5</v>
      </c>
      <c r="CU17" s="1191">
        <f ca="1">AVERAGEIF($BW:$BW,$BW17,$AH:$AH)</f>
        <v>153.42857142857142</v>
      </c>
      <c r="CV17" s="228">
        <f ca="1">AVERAGEIFS($AH:$AH,$BW:$BW,$BW17,$BX:$BX,$BX17)</f>
        <v>153.42857142857142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4850.7</v>
      </c>
      <c r="DH17" s="1218">
        <f ca="1">AVERAGEIFS($AM:$AM,$BW:$BW,$BW17,$BX:$BX,$BX17)</f>
        <v>4850.7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5.8716695193750637</v>
      </c>
      <c r="ER17" s="1218">
        <f ca="1">AVERAGEIFS($BH:$BH,$BW:$BW,$BW17,$BX:$BX,$BX17)</f>
        <v>5.8716695193750637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329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384</v>
      </c>
      <c r="AC18" s="224">
        <f>IF(ISNUMBER(Datos!Q18),Datos!Q18," - ")</f>
        <v>24</v>
      </c>
      <c r="AD18" s="224"/>
      <c r="AE18" s="224"/>
      <c r="AF18" s="224">
        <f>IF(ISNUMBER(Datos!L18),Datos!L18,"-")</f>
        <v>340</v>
      </c>
      <c r="AG18" s="333"/>
      <c r="AH18" s="224"/>
      <c r="AI18" s="224"/>
      <c r="AJ18" s="1214"/>
      <c r="AK18" s="333"/>
      <c r="AL18" s="478"/>
      <c r="AM18" s="1214">
        <f>IF(ISNUMBER(Datos!R18),Datos!R18," - ")</f>
        <v>14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76</v>
      </c>
      <c r="BD18" s="228">
        <f>IF(ISNUMBER(Datos!N18),Datos!N18," - ")</f>
        <v>274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0.97709923664122134</v>
      </c>
      <c r="BH18" s="1214">
        <f>IF(ISNUMBER(((IF(D_I="SI",Datos!L18/Datos!K18,(Datos!L18+Datos!AF18)/(Datos!K18+Datos!AE18)))*11)/factor_trimestre),((IF(D_I="SI",Datos!L18/Datos!K18,(Datos!L18+Datos!AF18)/(Datos!K18+Datos!AE18)))*11)/factor_trimestre," - ")</f>
        <v>2.65625</v>
      </c>
      <c r="BI18" s="242">
        <f>IF(ISNUMBER('Resol  Asuntos'!D18/NºAsuntos!G18),'Resol  Asuntos'!D18/NºAsuntos!G18," - ")</f>
        <v>0.19791666666666666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982.30773689372836</v>
      </c>
      <c r="CF18" s="228">
        <f ca="1">AVERAGEIFS($AB:$AB,$BW:$BW,BW18,$BX:$BX,BX18)</f>
        <v>982.30773689372836</v>
      </c>
      <c r="CG18" s="1191">
        <v>0.7</v>
      </c>
      <c r="CH18" s="1191">
        <f ca="1">AVERAGEIF($BW:$BW,BW18,$AC:$AC)</f>
        <v>264.89999999999998</v>
      </c>
      <c r="CI18" s="228">
        <f ca="1">AVERAGEIFS($AC:$AC,$BW:$BW,BW18,$BX:$BX,BX18)</f>
        <v>264.89999999999998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1273.6666666666667</v>
      </c>
      <c r="CR18" s="228">
        <f ca="1">AVERAGEIFS($AF:$AF,$BW:$BW,BW18,$BX:$BX,BX18)</f>
        <v>1273.6666666666667</v>
      </c>
      <c r="CS18" s="1191">
        <v>1.3</v>
      </c>
      <c r="CT18" s="1191">
        <v>1.5</v>
      </c>
      <c r="CU18" s="1191">
        <f ca="1">AVERAGEIF($BW:$BW,$BW18,$AH:$AH)</f>
        <v>153.42857142857142</v>
      </c>
      <c r="CV18" s="228">
        <f ca="1">AVERAGEIFS($AH:$AH,$BW:$BW,$BW18,$BX:$BX,$BX18)</f>
        <v>153.42857142857142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4850.7</v>
      </c>
      <c r="DH18" s="1218">
        <f ca="1">AVERAGEIFS($AM:$AM,$BW:$BW,$BW18,$BX:$BX,$BX18)</f>
        <v>4850.7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5.8716695193750637</v>
      </c>
      <c r="ER18" s="1218">
        <f ca="1">AVERAGEIFS($BH:$BH,$BW:$BW,$BW18,$BX:$BX,$BX18)</f>
        <v>5.8716695193750637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3422</v>
      </c>
      <c r="G19" s="895">
        <f>SUBTOTAL(9,G15:G18)</f>
        <v>3717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152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2775</v>
      </c>
      <c r="AC19" s="896">
        <f t="shared" si="5"/>
        <v>197</v>
      </c>
      <c r="AD19" s="896">
        <f t="shared" si="5"/>
        <v>0</v>
      </c>
      <c r="AE19" s="896">
        <f t="shared" si="5"/>
        <v>0</v>
      </c>
      <c r="AF19" s="896">
        <f t="shared" si="5"/>
        <v>3642</v>
      </c>
      <c r="AG19" s="896">
        <f t="shared" si="5"/>
        <v>0</v>
      </c>
      <c r="AH19" s="896">
        <f t="shared" si="5"/>
        <v>0</v>
      </c>
      <c r="AI19" s="896">
        <f t="shared" si="5"/>
        <v>0</v>
      </c>
      <c r="AJ19" s="896">
        <f t="shared" si="5"/>
        <v>0</v>
      </c>
      <c r="AK19" s="896">
        <f t="shared" si="5"/>
        <v>0</v>
      </c>
      <c r="AL19" s="896">
        <f t="shared" si="5"/>
        <v>0</v>
      </c>
      <c r="AM19" s="896">
        <f t="shared" si="5"/>
        <v>353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568</v>
      </c>
      <c r="BD19" s="896">
        <f t="shared" si="5"/>
        <v>1509</v>
      </c>
      <c r="BE19" s="896">
        <f t="shared" si="5"/>
        <v>0</v>
      </c>
      <c r="BF19" s="896">
        <f t="shared" si="5"/>
        <v>0</v>
      </c>
      <c r="BG19" s="896">
        <f>IF(ISNUMBER(Datos!K19/Datos!J19),Datos!K19/Datos!J19," - ")</f>
        <v>1.0416666666666667</v>
      </c>
      <c r="BH19" s="900">
        <f>IF(ISNUMBER(((Datos!L19/Datos!K19)*11)/factor_trimestre),((Datos!L19/Datos!K19)*11)/factor_trimestre," - ")</f>
        <v>3.937297297297297</v>
      </c>
      <c r="BI19" s="896">
        <f>SUBTOTAL(9,BI15:BI18)</f>
        <v>0.40368831033040564</v>
      </c>
      <c r="BJ19" s="896">
        <f>SUBTOTAL(9,BJ15:BJ18)</f>
        <v>0</v>
      </c>
      <c r="BK19" s="896">
        <f>SUBTOTAL(9,BK15:BK18)</f>
        <v>0</v>
      </c>
      <c r="BL19" s="896">
        <f>IF(ISNUMBER((I19-AB19+L19)/(F19)),(I19-AB19+L19)/(F19)," - ")</f>
        <v>-0.81092928112215079</v>
      </c>
      <c r="BM19" s="902">
        <f>IF(ISNUMBER((Datos!P19-Datos!Q19)/(Datos!R19-Datos!P19+Datos!Q19)),(Datos!P19-Datos!Q19)/(Datos!R19-Datos!P19+Datos!Q19)," - ")</f>
        <v>-0.11306532663316583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11</v>
      </c>
      <c r="F20" s="817">
        <f t="shared" si="7"/>
        <v>3607</v>
      </c>
      <c r="G20" s="817">
        <f t="shared" si="7"/>
        <v>3902</v>
      </c>
      <c r="H20" s="819">
        <f t="shared" si="7"/>
        <v>0</v>
      </c>
      <c r="I20" s="817">
        <f t="shared" si="7"/>
        <v>0</v>
      </c>
      <c r="J20" s="819">
        <f t="shared" si="7"/>
        <v>0</v>
      </c>
      <c r="K20" s="819">
        <f t="shared" si="7"/>
        <v>0</v>
      </c>
      <c r="L20" s="878">
        <f t="shared" si="7"/>
        <v>0</v>
      </c>
      <c r="M20" s="878">
        <f t="shared" si="7"/>
        <v>0</v>
      </c>
      <c r="N20" s="878">
        <f t="shared" si="7"/>
        <v>239</v>
      </c>
      <c r="O20" s="878">
        <f t="shared" si="7"/>
        <v>0</v>
      </c>
      <c r="P20" s="878">
        <f t="shared" si="7"/>
        <v>0</v>
      </c>
      <c r="Q20" s="819">
        <f t="shared" si="7"/>
        <v>909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2828</v>
      </c>
      <c r="AC20" s="818">
        <f t="shared" si="8"/>
        <v>883</v>
      </c>
      <c r="AD20" s="818">
        <f t="shared" si="8"/>
        <v>0</v>
      </c>
      <c r="AE20" s="818">
        <f t="shared" si="8"/>
        <v>0</v>
      </c>
      <c r="AF20" s="825">
        <f t="shared" si="8"/>
        <v>3821</v>
      </c>
      <c r="AG20" s="825">
        <f t="shared" si="8"/>
        <v>0</v>
      </c>
      <c r="AH20" s="825">
        <f t="shared" si="8"/>
        <v>358</v>
      </c>
      <c r="AI20" s="825">
        <f t="shared" si="8"/>
        <v>0</v>
      </c>
      <c r="AJ20" s="818">
        <f t="shared" si="8"/>
        <v>0</v>
      </c>
      <c r="AK20" s="825">
        <f t="shared" si="8"/>
        <v>0</v>
      </c>
      <c r="AL20" s="825">
        <f t="shared" si="8"/>
        <v>0</v>
      </c>
      <c r="AM20" s="825">
        <f t="shared" si="8"/>
        <v>16169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1281</v>
      </c>
      <c r="BD20" s="817">
        <f t="shared" si="8"/>
        <v>2503</v>
      </c>
      <c r="BE20" s="817">
        <f t="shared" si="8"/>
        <v>0</v>
      </c>
      <c r="BF20" s="827">
        <f t="shared" si="8"/>
        <v>0</v>
      </c>
      <c r="BG20" s="912">
        <f>IF(ISNUMBER(Datos!K20/Datos!J20),Datos!K20/Datos!J20," - ")</f>
        <v>0.98380719261909244</v>
      </c>
      <c r="BH20" s="912">
        <f>IF(ISNUMBER(((Datos!L20/Datos!K20)*11)/factor_trimestre),((Datos!L20/Datos!K20)*11)/factor_trimestre," - ")</f>
        <v>9.1108133971291885</v>
      </c>
      <c r="BI20" s="810">
        <f>IF(ISNUMBER(Datos!J20/Datos!I20),Datos!J20/Datos!I20," - ")</f>
        <v>0.33531157270029671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-0.7840310507346826</v>
      </c>
      <c r="BM20" s="886">
        <f>IF(ISNUMBER((Datos!P20-Datos!Q20+R20)/(Datos!R20-Datos!P20+Datos!Q20-R20)),(Datos!P20-Datos!Q20+R20)/(Datos!R20-Datos!P20+Datos!Q20-R20)," - ")</f>
        <v>1.6106052158830454E-3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1560.8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2.6583202716502514</v>
      </c>
      <c r="F22" s="550">
        <f>IF(ISNUMBER(STDEV(F8:F19)),STDEV(F8:F19),"-")</f>
        <v>1868.8828213668187</v>
      </c>
      <c r="G22" s="551">
        <f>IF(ISNUMBER(STDEV(G8:G19)),STDEV(G8:G19),"-")</f>
        <v>1822.8302718574762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1339.0773689372843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305.56701392656896</v>
      </c>
      <c r="BD22" s="550"/>
      <c r="BE22" s="550">
        <f>IF(ISNUMBER(STDEV(BE8:BE19)),STDEV(BE8:BE19),"-")</f>
        <v>0</v>
      </c>
      <c r="BF22" s="555">
        <f>IF(ISNUMBER(STDEV(BF8:BF19)),STDEV(BF8:BF19),"-")</f>
        <v>0</v>
      </c>
      <c r="BG22" s="772">
        <f>IF(ISNUMBER(STDEV(BG8:BG19)),STDEV(BG8:BG19),"-")</f>
        <v>7.9910836233720681E-2</v>
      </c>
      <c r="BH22" s="773">
        <f>IF(ISNUMBER(STDEV(BH8:BH19)),STDEV(BH8:BH19),"-")</f>
        <v>5.4827074546421635</v>
      </c>
      <c r="BI22" s="248">
        <f>IF(ISNUMBER(STDEV(BI8:BI19)),STDEV(BI8:BI19),"-")</f>
        <v>9.5218386939327118E-2</v>
      </c>
      <c r="BJ22" s="1415" t="str">
        <f>IF(ISNUMBER(BL22/BM22),BL22/BM22," - ")</f>
        <v xml:space="preserve"> - </v>
      </c>
      <c r="BK22" s="574"/>
      <c r="BL22" s="558">
        <f>IF(ISNUMBER(STDEV(BL8:BL19)),STDEV(BL8:BL19),"-")</f>
        <v>0.37083705643130216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OPlpV2SLKGi/RQEk9IY03oS1Juik7pRI5CDdHcAi1Xi9ObNJCBZDY5vxKs6J7MgrvEvIO8Ix8cElhaQhIygpg==" saltValue="iDGnfn8VDvdzitvKVW4Sb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ORIHUELA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0.26584638329604771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0.18798178038255345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VE9WZpV2Jh41s7jnYAT2HZS/hkJ9kzKUsY9lFU9YFMNpTlqHWi5CBM4BRuWZ3Ksen2YfFqMtNwYiPccYWnywQg==" saltValue="iP/1wSdO3mW2PzbpvzmuE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ORIHUELA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c7Sp6IrKJ94WtUOhCaKKB8+gjhyLWy2IOT8ZDwJUeLiwcOg1gIN+q+c3umd+j80KdgX3vP9AprlE6mV3/V8VQ==" saltValue="LSUpOgGSDMoxlFmuK7Dsz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ORIHUELA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2t4hZiVhiFiDZVO+3dsiFcF+tK1qAPdbeAXjLrX169piRxHhTPp2gtmrGdRMIPQUrVzF+n+sAvQ1IRh0rykFkA==" saltValue="KNe/ka2e5WfcV77X505LD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ORIHUELA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694</v>
      </c>
      <c r="E9" s="403">
        <f t="shared" ref="E9:E13" si="0">IF(ISNUMBER(D9/B9),D9/B9," - ")</f>
        <v>115.66666666666667</v>
      </c>
      <c r="F9" s="402">
        <f>IF(ISNUMBER(Datos!N9),Datos!N9," - ")</f>
        <v>978</v>
      </c>
      <c r="G9" s="403">
        <f t="shared" ref="G9:G13" si="1">IF(ISNUMBER(F9/B9),F9/B9," - ")</f>
        <v>163</v>
      </c>
      <c r="H9" s="402">
        <f>IF(ISNUMBER(Datos!O9),Datos!O9," - ")</f>
        <v>1392</v>
      </c>
      <c r="I9" s="403">
        <f>IF(ISNUMBER(H9/B9),H9/B9," - ")</f>
        <v>232</v>
      </c>
      <c r="BZ9" s="1181">
        <f>Datos!EZ9</f>
        <v>0</v>
      </c>
    </row>
    <row r="10" spans="1:78">
      <c r="A10" s="401" t="str">
        <f>Datos!A10</f>
        <v>Sección De Violencia sobre la Mujer del TI</v>
      </c>
      <c r="B10" s="426">
        <f>Datos!AO10</f>
        <v>1</v>
      </c>
      <c r="C10" s="409">
        <f>Datos!AQ10</f>
        <v>1</v>
      </c>
      <c r="D10" s="402">
        <f>IF(ISNUMBER(Datos!M10),Datos!M10," - ")</f>
        <v>19</v>
      </c>
      <c r="E10" s="403">
        <f>IF(ISNUMBER(D10/B10),D10/B10," - ")</f>
        <v>19</v>
      </c>
      <c r="F10" s="402">
        <f>IF(ISNUMBER(Datos!N10),Datos!N10," - ")</f>
        <v>16</v>
      </c>
      <c r="G10" s="403">
        <f>IF(ISNUMBER(F10/B10),F10/B10," - ")</f>
        <v>16</v>
      </c>
      <c r="H10" s="402">
        <f>IF(ISNUMBER(Datos!O10),Datos!O10," - ")</f>
        <v>15</v>
      </c>
      <c r="I10" s="403">
        <f t="shared" ref="I10:I12" si="2">IF(ISNUMBER(H10/B10),H10/B10," - ")</f>
        <v>15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7</v>
      </c>
      <c r="C13" s="848">
        <f>Datos!AR13</f>
        <v>7</v>
      </c>
      <c r="D13" s="846">
        <f>SUBTOTAL(9,D9:D12)</f>
        <v>713</v>
      </c>
      <c r="E13" s="847">
        <f t="shared" si="0"/>
        <v>101.85714285714286</v>
      </c>
      <c r="F13" s="846">
        <f>SUBTOTAL(9,F9:F12)</f>
        <v>994</v>
      </c>
      <c r="G13" s="847">
        <f t="shared" si="1"/>
        <v>142</v>
      </c>
      <c r="H13" s="846">
        <f>SUBTOTAL(9,H9:H12)</f>
        <v>1407</v>
      </c>
      <c r="I13" s="847">
        <f>IF(ISNUMBER(H13/B13),H13/B13," - ")</f>
        <v>201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492</v>
      </c>
      <c r="E15" s="403">
        <f t="shared" ref="E15:E19" si="3">IF(ISNUMBER(D15/B15),D15/B15," - ")</f>
        <v>164</v>
      </c>
      <c r="F15" s="402">
        <f>IF(ISNUMBER(Datos!N15),Datos!N15," - ")</f>
        <v>1235</v>
      </c>
      <c r="G15" s="403">
        <f t="shared" ref="G15:G19" si="4">IF(ISNUMBER(F15/B15),F15/B15," - ")</f>
        <v>411.66666666666669</v>
      </c>
      <c r="H15" s="402">
        <f>IF(ISNUMBER(Datos!O15),Datos!O15," - ")</f>
        <v>80</v>
      </c>
      <c r="I15" s="403">
        <f t="shared" ref="I15:I18" si="5">IF(ISNUMBER(H15/B15),H15/B15," - ")</f>
        <v>26.666666666666668</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76</v>
      </c>
      <c r="E18" s="403">
        <f>IF(ISNUMBER(D18/B18),D18/B18," - ")</f>
        <v>76</v>
      </c>
      <c r="F18" s="402">
        <f>IF(ISNUMBER(Datos!N18),Datos!N18," - ")</f>
        <v>274</v>
      </c>
      <c r="G18" s="403">
        <f>IF(ISNUMBER(F18/B18),F18/B18," - ")</f>
        <v>274</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568</v>
      </c>
      <c r="E19" s="847">
        <f t="shared" si="3"/>
        <v>142</v>
      </c>
      <c r="F19" s="846">
        <f>SUBTOTAL(9,F15:F18)</f>
        <v>1509</v>
      </c>
      <c r="G19" s="847">
        <f t="shared" si="4"/>
        <v>377.25</v>
      </c>
      <c r="H19" s="846">
        <f>SUBTOTAL(9,H15:H18)</f>
        <v>80</v>
      </c>
      <c r="I19" s="847">
        <f>IF(ISNUMBER(H19/B19),H19/B19," - ")</f>
        <v>20</v>
      </c>
      <c r="BZ19" s="1181"/>
    </row>
    <row r="20" spans="1:78" ht="14.25" thickTop="1" thickBot="1">
      <c r="A20" s="790" t="str">
        <f>Datos!A20</f>
        <v>TOTAL JURISDICCIONES</v>
      </c>
      <c r="B20" s="791">
        <f>Datos!AP20</f>
        <v>10</v>
      </c>
      <c r="C20" s="791">
        <f>Datos!AR20</f>
        <v>10</v>
      </c>
      <c r="D20" s="791">
        <f>SUBTOTAL(9,D8:D19)</f>
        <v>1281</v>
      </c>
      <c r="E20" s="792">
        <f>IF(ISNUMBER(D20/B20),D20/B20," - ")</f>
        <v>128.1</v>
      </c>
      <c r="F20" s="791">
        <f>SUBTOTAL(9,F8:F19)</f>
        <v>2503</v>
      </c>
      <c r="G20" s="792">
        <f>IF(ISNUMBER(F20/B20),F20/B20," - ")</f>
        <v>250.3</v>
      </c>
      <c r="H20" s="791">
        <f>SUBTOTAL(9,H8:H19)</f>
        <v>1487</v>
      </c>
      <c r="I20" s="792">
        <f>IF(ISNUMBER(H20/B20),H20/B20," - ")</f>
        <v>148.69999999999999</v>
      </c>
    </row>
    <row r="23" spans="1:78">
      <c r="A23" s="390" t="str">
        <f>Criterios!A4</f>
        <v>Fecha Informe: 18 jun. 2026</v>
      </c>
    </row>
    <row r="28" spans="1:78">
      <c r="A28" s="413"/>
    </row>
  </sheetData>
  <sheetProtection algorithmName="SHA-512" hashValue="ZoyxzPBz1bhoJniGGUv47jSMBWKSyIynwXoABnHmGE9NuODyPgV8HFoSFKnldCFf4qYw+lXgE12StoMibEvMjw==" saltValue="mz7FYMWyhkl9X9aPS5MG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ORIHUELA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745</v>
      </c>
      <c r="C9" s="433">
        <f>IF(ISNUMBER(Datos!Q9),Datos!Q9," - ")</f>
        <v>683</v>
      </c>
      <c r="D9" s="407">
        <f>IF(ISNUMBER(Datos!R9),Datos!R9," - ")</f>
        <v>15661</v>
      </c>
    </row>
    <row r="10" spans="1:4">
      <c r="A10" s="401" t="str">
        <f>Datos!A10</f>
        <v>Sección De Violencia sobre la Mujer del TI</v>
      </c>
      <c r="B10" s="432">
        <f>IF(ISNUMBER(Datos!P10),Datos!P10," - ")</f>
        <v>12</v>
      </c>
      <c r="C10" s="433">
        <f>IF(ISNUMBER(Datos!Q10),Datos!Q10," - ")</f>
        <v>3</v>
      </c>
      <c r="D10" s="407">
        <f>IF(ISNUMBER(Datos!R10),Datos!R10," - ")</f>
        <v>155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757</v>
      </c>
      <c r="C13" s="850">
        <f>SUBTOTAL(9,C9:C12)</f>
        <v>686</v>
      </c>
      <c r="D13" s="848">
        <f>SUBTOTAL(9,D9:D12)</f>
        <v>15816</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140</v>
      </c>
      <c r="C15" s="433">
        <f>IF(ISNUMBER(Datos!Q15),Datos!Q15," - ")</f>
        <v>173</v>
      </c>
      <c r="D15" s="407">
        <f>IF(ISNUMBER(Datos!R15),Datos!R15," - ")</f>
        <v>339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12</v>
      </c>
      <c r="C18" s="433">
        <f>IF(ISNUMBER(Datos!Q18),Datos!Q18," - ")</f>
        <v>24</v>
      </c>
      <c r="D18" s="407">
        <f>IF(ISNUMBER(Datos!R18),Datos!R18," - ")</f>
        <v>14</v>
      </c>
    </row>
    <row r="19" spans="1:4" ht="14.25" thickTop="1" thickBot="1">
      <c r="A19" s="845" t="str">
        <f>Datos!A19</f>
        <v>TOTAL</v>
      </c>
      <c r="B19" s="846">
        <f>SUBTOTAL(9,B15:B18)</f>
        <v>152</v>
      </c>
      <c r="C19" s="850">
        <f>SUBTOTAL(9,C15:C18)</f>
        <v>197</v>
      </c>
      <c r="D19" s="848">
        <f>SUBTOTAL(9,D15:D18)</f>
        <v>353</v>
      </c>
    </row>
    <row r="20" spans="1:4" ht="16.5" customHeight="1" thickTop="1" thickBot="1">
      <c r="A20" s="790" t="str">
        <f>Datos!A20</f>
        <v>TOTAL JURISDICCIONES</v>
      </c>
      <c r="B20" s="795">
        <f>SUBTOTAL(9,B8:B19)</f>
        <v>909</v>
      </c>
      <c r="C20" s="796">
        <f>SUBTOTAL(9,C8:C19)</f>
        <v>883</v>
      </c>
      <c r="D20" s="797">
        <f>SUBTOTAL(9,D8:D19)</f>
        <v>16169</v>
      </c>
    </row>
    <row r="21" spans="1:4" ht="7.5" customHeight="1"/>
    <row r="22" spans="1:4" ht="6" customHeight="1"/>
    <row r="23" spans="1:4">
      <c r="A23" s="390" t="str">
        <f>Criterios!A4</f>
        <v>Fecha Informe: 18 jun. 2026</v>
      </c>
    </row>
    <row r="28" spans="1:4">
      <c r="A28" s="413"/>
    </row>
  </sheetData>
  <sheetProtection algorithmName="SHA-512" hashValue="qNbYo7Y4Nz/eqmtivzOB5VX4cQ6l78J2KEr7j9ey/0UQtHlFtzDx+fiL1JFvrBlRDjtR3I7M4FKP7vI/2p2bKQ==" saltValue="jfSSKGhaTjX8n4SKujnC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ORIHUELA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-3.9211082413712142E-2</v>
      </c>
      <c r="C9" s="455">
        <f>IF(ISNUMBER(
   IF(J_V="SI",(Datos!J9-Datos!T9)/Datos!T9,(Datos!J9+Datos!Z9-(Datos!T9+Datos!AH9))/(Datos!T9+Datos!AH9))
     ),IF(J_V="SI",(Datos!J9-Datos!T9)/Datos!T9,(Datos!J9+Datos!Z9-(Datos!T9+Datos!AH9))/(Datos!T9+Datos!AH9))," - ")</f>
        <v>-0.47053338306602016</v>
      </c>
      <c r="D9" s="455">
        <f>IF(ISNUMBER(
   IF(J_V="SI",(Datos!K9-Datos!U9)/Datos!U9,(Datos!K9+Datos!AA9-(Datos!U9+Datos!AI9))/(Datos!U9+Datos!AI9))
     ),IF(J_V="SI",(Datos!K9-Datos!U9)/Datos!U9,(Datos!K9+Datos!AA9-(Datos!U9+Datos!AI9))/(Datos!U9+Datos!AI9))," - ")</f>
        <v>-0.29422818791946309</v>
      </c>
      <c r="E9" s="455">
        <f>IF(ISNUMBER(
   IF(J_V="SI",(Datos!L9-Datos!V9)/Datos!V9,(Datos!L9+Datos!AB9-(Datos!V9+Datos!AJ9))/(Datos!V9+Datos!AJ9))
     ),IF(J_V="SI",(Datos!L9-Datos!V9)/Datos!V9,(Datos!L9+Datos!AB9-(Datos!V9+Datos!AJ9))/(Datos!V9+Datos!AJ9))," - ")</f>
        <v>-0.13378953983660358</v>
      </c>
      <c r="F9" s="455">
        <f>IF(ISNUMBER((Datos!M9-Datos!W9)/Datos!W9),(Datos!M9-Datos!W9)/Datos!W9," - ")</f>
        <v>-0.1056701030927835</v>
      </c>
      <c r="G9" s="456">
        <f>IF(ISNUMBER((Datos!N9-Datos!X9)/Datos!X9),(Datos!N9-Datos!X9)/Datos!X9," - ")</f>
        <v>-0.31941544885177453</v>
      </c>
      <c r="H9" s="454">
        <f>IF(ISNUMBER(((NºAsuntos!G9/NºAsuntos!E9)-Datos!BD9)/Datos!BD9),((NºAsuntos!G9/NºAsuntos!E9)-Datos!BD9)/Datos!BD9," - ")</f>
        <v>0.33298642352090135</v>
      </c>
      <c r="I9" s="455">
        <f>IF(ISNUMBER(((NºAsuntos!I9/NºAsuntos!G9)-Datos!BE9)/Datos!BE9),((NºAsuntos!I9/NºAsuntos!G9)-Datos!BE9)/Datos!BE9," - ")</f>
        <v>0.22732368357118754</v>
      </c>
      <c r="J9" s="460">
        <f>IF(ISNUMBER((('Resol  Asuntos'!D9/NºAsuntos!G9)-Datos!BF9)/Datos!BF9),(('Resol  Asuntos'!D9/NºAsuntos!G9)-Datos!BF9)/Datos!BF9," - ")</f>
        <v>-0.315712836297038</v>
      </c>
      <c r="K9" s="461">
        <f>IF(ISNUMBER((((NºAsuntos!C9+NºAsuntos!E9)/NºAsuntos!G9)-Datos!BG9)/Datos!BG9),(((NºAsuntos!C9+NºAsuntos!E9)/NºAsuntos!G9)-Datos!BG9)/Datos!BG9," - ")</f>
        <v>0.18067536496147177</v>
      </c>
    </row>
    <row r="10" spans="1:11" ht="21">
      <c r="A10" s="401" t="str">
        <f>Datos!A10</f>
        <v>Sección De Violencia sobre la Mujer del TI</v>
      </c>
      <c r="B10" s="454">
        <f>IF(ISNUMBER((Datos!I10-Datos!S10)/Datos!S10),(Datos!I10-Datos!S10)/Datos!S10," - ")</f>
        <v>-5.128205128205128E-2</v>
      </c>
      <c r="C10" s="455">
        <f>IF(ISNUMBER((Datos!J10-Datos!T10)/Datos!T10),(Datos!J10-Datos!T10)/Datos!T10," - ")</f>
        <v>-0.18965517241379309</v>
      </c>
      <c r="D10" s="455">
        <f>IF(ISNUMBER((Datos!K10-Datos!U10)/Datos!U10),(Datos!K10-Datos!U10)/Datos!U10," - ")</f>
        <v>1.9230769230769232E-2</v>
      </c>
      <c r="E10" s="455">
        <f>IF(ISNUMBER((Datos!L10-Datos!V10)/Datos!V10),(Datos!L10-Datos!V10)/Datos!V10," - ")</f>
        <v>-0.10945273631840796</v>
      </c>
      <c r="F10" s="455">
        <f>IF(ISNUMBER((Datos!M10-Datos!W10)/Datos!W10),(Datos!M10-Datos!W10)/Datos!W10," - ")</f>
        <v>-0.26923076923076922</v>
      </c>
      <c r="G10" s="456">
        <f>IF(ISNUMBER((Datos!N10-Datos!X10)/Datos!X10),(Datos!N10-Datos!X10)/Datos!X10," - ")</f>
        <v>-0.23809523809523808</v>
      </c>
      <c r="H10" s="454">
        <f>IF(ISNUMBER(((NºAsuntos!G10/NºAsuntos!E10)-Datos!BD10)/Datos!BD10),((NºAsuntos!G10/NºAsuntos!E10)-Datos!BD10)/Datos!BD10," - ")</f>
        <v>0.25777414075286409</v>
      </c>
      <c r="I10" s="455">
        <f>IF(ISNUMBER(((NºAsuntos!I10/NºAsuntos!G10)-Datos!BE10)/Datos!BE10),((NºAsuntos!I10/NºAsuntos!G10)-Datos!BE10)/Datos!BE10," - ")</f>
        <v>-0.12625551487843803</v>
      </c>
      <c r="J10" s="460">
        <f>IF(ISNUMBER((('Resol  Asuntos'!D10/NºAsuntos!G10)-Datos!BF10)/Datos!BF10),(('Resol  Asuntos'!D10/NºAsuntos!G10)-Datos!BF10)/Datos!BF10," - ")</f>
        <v>-0.28301886792452835</v>
      </c>
      <c r="K10" s="461">
        <f>IF(ISNUMBER((((NºAsuntos!C10+NºAsuntos!E10)/NºAsuntos!G10)-Datos!BG10)/Datos!BG10),(((NºAsuntos!C10+NºAsuntos!E10)/NºAsuntos!G10)-Datos!BG10)/Datos!BG10," - ")</f>
        <v>-0.10030576478484594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-3.9392537773666358E-2</v>
      </c>
      <c r="C13" s="852">
        <f>IF(ISNUMBER(
   IF(J_V="SI",(Datos!J13-Datos!T13)/Datos!T13,(Datos!J13+Datos!Z13-(Datos!T13+Datos!AH13))/(Datos!T13+Datos!AH13))
     ),IF(J_V="SI",(Datos!J13-Datos!T13)/Datos!T13,(Datos!J13+Datos!Z13-(Datos!T13+Datos!AH13))/(Datos!T13+Datos!AH13))," - ")</f>
        <v>-0.46752767527675276</v>
      </c>
      <c r="D13" s="852">
        <f>IF(ISNUMBER(
   IF(J_V="SI",(Datos!K13-Datos!U13)/Datos!U13,(Datos!K13+Datos!AA13-(Datos!U13+Datos!AI13))/(Datos!U13+Datos!AI13))
     ),IF(J_V="SI",(Datos!K13-Datos!U13)/Datos!U13,(Datos!K13+Datos!AA13-(Datos!U13+Datos!AI13))/(Datos!U13+Datos!AI13))," - ")</f>
        <v>-0.28991262907069104</v>
      </c>
      <c r="E13" s="852">
        <f>IF(ISNUMBER(
   IF(J_V="SI",(Datos!L13-Datos!V13)/Datos!V13,(Datos!L13+Datos!AB13-(Datos!V13+Datos!AJ13))/(Datos!V13+Datos!AJ13))
     ),IF(J_V="SI",(Datos!L13-Datos!V13)/Datos!V13,(Datos!L13+Datos!AB13-(Datos!V13+Datos!AJ13))/(Datos!V13+Datos!AJ13))," - ")</f>
        <v>-0.13345269246660241</v>
      </c>
      <c r="F13" s="853">
        <f>IF(ISNUMBER((Datos!M13-Datos!W13)/Datos!W13),(Datos!M13-Datos!W13)/Datos!W13," - ")</f>
        <v>-0.11097256857855362</v>
      </c>
      <c r="G13" s="854">
        <f>IF(ISNUMBER((Datos!N13-Datos!X13)/Datos!X13),(Datos!N13-Datos!X13)/Datos!X13," - ")</f>
        <v>-0.31824417009602196</v>
      </c>
      <c r="H13" s="854">
        <f>IF(ISNUMBER(((NºAsuntos!G13/NºAsuntos!E13)-Datos!BD13)/Datos!BD13),((NºAsuntos!G13/NºAsuntos!E13)-Datos!BD13)/Datos!BD13," - ")</f>
        <v>0.3335667187930888</v>
      </c>
      <c r="I13" s="854">
        <f>IF(ISNUMBER(((NºAsuntos!I13/NºAsuntos!G13)-Datos!BE13)/Datos!BE13),((NºAsuntos!I13/NºAsuntos!G13)-Datos!BE13)/Datos!BE13," - ")</f>
        <v>0.22033899349501973</v>
      </c>
      <c r="J13" s="854">
        <f>IF(ISNUMBER((('Resol  Asuntos'!D13/NºAsuntos!G13)-Datos!BF13)/Datos!BF13),(('Resol  Asuntos'!D13/NºAsuntos!G13)-Datos!BF13)/Datos!BF13," - ")</f>
        <v>-0.31366931667178932</v>
      </c>
      <c r="K13" s="854">
        <f>IF(ISNUMBER((((NºAsuntos!C13+NºAsuntos!E13)/NºAsuntos!G13)-Datos!BG13)/Datos!BG13),(((NºAsuntos!C13+NºAsuntos!E13)/NºAsuntos!G13)-Datos!BG13)/Datos!BG13," - ")</f>
        <v>0.17512142960707563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4.447079750963534E-3</v>
      </c>
      <c r="C15" s="455">
        <f>IF(ISNUMBER(
   IF(D_I="SI",(Datos!J15-Datos!T15)/Datos!T15,(Datos!J15+Datos!AD15-(Datos!T15+Datos!AL15))/(Datos!T15+Datos!AL15))
     ),IF(D_I="SI",(Datos!J15-Datos!T15)/Datos!T15,(Datos!J15+Datos!AD15-(Datos!T15+Datos!AL15))/(Datos!T15+Datos!AL15))," - ")</f>
        <v>4.2699724517906337E-2</v>
      </c>
      <c r="D15" s="455">
        <f>IF(ISNUMBER(
   IF(D_I="SI",(Datos!K15-Datos!U15)/Datos!U15,(Datos!K15+Datos!AE15-(Datos!U15+Datos!AM15))/(Datos!U15+Datos!AM15))
     ),IF(D_I="SI",(Datos!K15-Datos!U15)/Datos!U15,(Datos!K15+Datos!AE15-(Datos!U15+Datos!AM15))/(Datos!U15+Datos!AM15))," - ")</f>
        <v>6.2666666666666662E-2</v>
      </c>
      <c r="E15" s="455">
        <f>IF(ISNUMBER(
   IF(D_I="SI",(Datos!L15-Datos!V15)/Datos!V15,(Datos!L15+Datos!AF15-(Datos!V15+Datos!AN15))/(Datos!V15+Datos!AN15))
     ),IF(D_I="SI",(Datos!L15-Datos!V15)/Datos!V15,(Datos!L15+Datos!AF15-(Datos!V15+Datos!AN15))/(Datos!V15+Datos!AN15))," - ")</f>
        <v>-9.3009300930093006E-3</v>
      </c>
      <c r="F15" s="455">
        <f>IF(ISNUMBER((Datos!M15-Datos!W15)/Datos!W15),(Datos!M15-Datos!W15)/Datos!W15," - ")</f>
        <v>1.443298969072165E-2</v>
      </c>
      <c r="G15" s="456">
        <f>IF(ISNUMBER((Datos!N15-Datos!X15)/Datos!X15),(Datos!N15-Datos!X15)/Datos!X15," - ")</f>
        <v>-0.05</v>
      </c>
      <c r="H15" s="454">
        <f>IF(ISNUMBER(((NºAsuntos!G15/NºAsuntos!E15)-Datos!BD15)/Datos!BD15),((NºAsuntos!G15/NºAsuntos!E15)-Datos!BD15)/Datos!BD15," - ")</f>
        <v>1.9149273447820522E-2</v>
      </c>
      <c r="I15" s="455">
        <f>IF(ISNUMBER(((NºAsuntos!I15/NºAsuntos!G15)-Datos!BE15)/Datos!BE15),((NºAsuntos!I15/NºAsuntos!G15)-Datos!BE15)/Datos!BE15," - ")</f>
        <v>-6.7723585407474293E-2</v>
      </c>
      <c r="J15" s="460">
        <f>IF(ISNUMBER((('Resol  Asuntos'!D15/NºAsuntos!G15)-Datos!BF15)/Datos!BF15),(('Resol  Asuntos'!D15/NºAsuntos!G15)-Datos!BF15)/Datos!BF15," - ")</f>
        <v>-4.5389281972344792E-2</v>
      </c>
      <c r="K15" s="461">
        <f>IF(ISNUMBER((((NºAsuntos!C15+NºAsuntos!E15)/NºAsuntos!G15)-Datos!BG15)/Datos!BG15),(((NºAsuntos!C15+NºAsuntos!E15)/NºAsuntos!G15)-Datos!BG15)/Datos!BG15," - ")</f>
        <v>-4.0662527714382043E-2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4.1139240506329111E-2</v>
      </c>
      <c r="C18" s="455">
        <f>IF(ISNUMBER(
   IF(D_I="SI",(Datos!J18-Datos!T18)/Datos!T18,(Datos!J18+Datos!AD18-(Datos!T18+Datos!AL18))/(Datos!T18+Datos!AL18))
     ),IF(D_I="SI",(Datos!J18-Datos!T18)/Datos!T18,(Datos!J18+Datos!AD18-(Datos!T18+Datos!AL18))/(Datos!T18+Datos!AL18))," - ")</f>
        <v>0.24761904761904763</v>
      </c>
      <c r="D18" s="455">
        <f>IF(ISNUMBER(
   IF(D_I="SI",(Datos!K18-Datos!U18)/Datos!U18,(Datos!K18+Datos!AE18-(Datos!U18+Datos!AM18))/(Datos!U18+Datos!AM18))
     ),IF(D_I="SI",(Datos!K18-Datos!U18)/Datos!U18,(Datos!K18+Datos!AE18-(Datos!U18+Datos!AM18))/(Datos!U18+Datos!AM18))," - ")</f>
        <v>1.5873015873015872E-2</v>
      </c>
      <c r="E18" s="455">
        <f>IF(ISNUMBER(
   IF(D_I="SI",(Datos!L18-Datos!V18)/Datos!V18,(Datos!L18+Datos!AF18-(Datos!V18+Datos!AN18))/(Datos!V18+Datos!AN18))
     ),IF(D_I="SI",(Datos!L18-Datos!V18)/Datos!V18,(Datos!L18+Datos!AF18-(Datos!V18+Datos!AN18))/(Datos!V18+Datos!AN18))," - ")</f>
        <v>0.34387351778656128</v>
      </c>
      <c r="F18" s="455">
        <f>IF(ISNUMBER((Datos!M18-Datos!W18)/Datos!W18),(Datos!M18-Datos!W18)/Datos!W18," - ")</f>
        <v>0.61702127659574468</v>
      </c>
      <c r="G18" s="456">
        <f>IF(ISNUMBER((Datos!N18-Datos!X18)/Datos!X18),(Datos!N18-Datos!X18)/Datos!X18," - ")</f>
        <v>-0.15170278637770898</v>
      </c>
      <c r="H18" s="454">
        <f>IF(ISNUMBER(((NºAsuntos!G18/NºAsuntos!E18)-Datos!BD18)/Datos!BD18),((NºAsuntos!G18/NºAsuntos!E18)-Datos!BD18)/Datos!BD18," - ")</f>
        <v>-0.18575063613231552</v>
      </c>
      <c r="I18" s="455">
        <f>IF(ISNUMBER(((NºAsuntos!I18/NºAsuntos!G18)-Datos!BE18)/Datos!BE18),((NºAsuntos!I18/NºAsuntos!G18)-Datos!BE18)/Datos!BE18," - ")</f>
        <v>0.32287549407114619</v>
      </c>
      <c r="J18" s="460">
        <f>IF(ISNUMBER((('Resol  Asuntos'!D18/NºAsuntos!G18)-Datos!BF18)/Datos!BF18),(('Resol  Asuntos'!D18/NºAsuntos!G18)-Datos!BF18)/Datos!BF18," - ")</f>
        <v>0.5917553191489362</v>
      </c>
      <c r="K18" s="461">
        <f>IF(ISNUMBER((((NºAsuntos!C18+NºAsuntos!E18)/NºAsuntos!G18)-Datos!BG18)/Datos!BG18),(((NºAsuntos!C18+NºAsuntos!E18)/NºAsuntos!G18)-Datos!BG18)/Datos!BG18," - ")</f>
        <v>0.12633716323296351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7.5901328273244783E-3</v>
      </c>
      <c r="C19" s="852">
        <f>IF(ISNUMBER(
   IF(Criterios!B14="SI",(Datos!J19-Datos!T19)/Datos!T19,(Datos!J19+Datos!AD19-(Datos!T19+Datos!AL19))/(Datos!T19+Datos!AL19))
     ),IF(Criterios!B14="SI",(Datos!J19-Datos!T19)/Datos!T19,(Datos!J19+Datos!AD19-(Datos!T19+Datos!AL19))/(Datos!T19+Datos!AL19))," - ")</f>
        <v>6.8592057761732855E-2</v>
      </c>
      <c r="D19" s="852">
        <f>IF(ISNUMBER(
   IF(Criterios!B14="SI",(Datos!K19-Datos!U19)/Datos!U19,(Datos!K19+Datos!AE19-(Datos!U19+Datos!AM19))/(Datos!U19+Datos!AM19))
     ),IF(Criterios!B14="SI",(Datos!K19-Datos!U19)/Datos!U19,(Datos!K19+Datos!AE19-(Datos!U19+Datos!AM19))/(Datos!U19+Datos!AM19))," - ")</f>
        <v>5.5936073059360727E-2</v>
      </c>
      <c r="E19" s="852">
        <f>IF(ISNUMBER(
   IF(Criterios!B14="SI",(Datos!L19-Datos!V19)/Datos!V19,(Datos!L19+Datos!AF19-(Datos!V19+Datos!AN19))/(Datos!V19+Datos!AN19))
     ),IF(Criterios!B14="SI",(Datos!L19-Datos!V19)/Datos!V19,(Datos!L19+Datos!AF19-(Datos!V19+Datos!AN19))/(Datos!V19+Datos!AN19))," - ")</f>
        <v>1.5616285554935862E-2</v>
      </c>
      <c r="F19" s="853">
        <f>IF(ISNUMBER((Datos!M19-Datos!W19)/Datos!W19),(Datos!M19-Datos!W19)/Datos!W19," - ")</f>
        <v>6.7669172932330823E-2</v>
      </c>
      <c r="G19" s="854">
        <f>IF(ISNUMBER((Datos!N19-Datos!X19)/Datos!X19),(Datos!N19-Datos!X19)/Datos!X19," - ")</f>
        <v>-7.0240295748613679E-2</v>
      </c>
      <c r="H19" s="854">
        <f>IF(ISNUMBER(((NºAsuntos!G19/NºAsuntos!E19)-Datos!BD19)/Datos!BD19),((NºAsuntos!G19/NºAsuntos!E19)-Datos!BD19)/Datos!BD19," - ")</f>
        <v>-1.18436073059361E-2</v>
      </c>
      <c r="I19" s="854">
        <f>IF(ISNUMBER(((NºAsuntos!I19/NºAsuntos!G19)-Datos!BE19)/Datos!BE19),((NºAsuntos!I19/NºAsuntos!G19)-Datos!BE19)/Datos!BE19," - ")</f>
        <v>-3.8183928490676984E-2</v>
      </c>
      <c r="J19" s="854">
        <f>IF(ISNUMBER((('Resol  Asuntos'!D19/NºAsuntos!G19)-Datos!BF19)/Datos!BF19),(('Resol  Asuntos'!D19/NºAsuntos!G19)-Datos!BF19)/Datos!BF19," - ")</f>
        <v>1.1111562690510071E-2</v>
      </c>
      <c r="K19" s="854">
        <f>IF(ISNUMBER((((NºAsuntos!C19+NºAsuntos!E19)/NºAsuntos!G19)-Datos!BG19)/Datos!BG19),(((NºAsuntos!C19+NºAsuntos!E19)/NºAsuntos!G19)-Datos!BG19)/Datos!BG19," - ")</f>
        <v>-2.2487955441692055E-2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-2.8989856551227416E-2</v>
      </c>
      <c r="C20" s="799">
        <f>IF(ISNUMBER(
   IF(J_V="SI",(Datos!J20-Datos!T20)/Datos!T20,(Datos!J20+Datos!Z20-(Datos!T20+Datos!AH20))/(Datos!T20+Datos!AH20))
     ),IF(J_V="SI",(Datos!J20-Datos!T20)/Datos!T20,(Datos!J20+Datos!Z20-(Datos!T20+Datos!AH20))/(Datos!T20+Datos!AH20))," - ")</f>
        <v>-0.2986225199039555</v>
      </c>
      <c r="D20" s="799">
        <f>IF(ISNUMBER(
   IF(J_V="SI",(Datos!K20-Datos!U20)/Datos!U20,(Datos!K20+Datos!AA20-(Datos!U20+Datos!AI20))/(Datos!U20+Datos!AI20))
     ),IF(J_V="SI",(Datos!K20-Datos!U20)/Datos!U20,(Datos!K20+Datos!AA20-(Datos!U20+Datos!AI20))/(Datos!U20+Datos!AI20))," - ")</f>
        <v>-0.14800936768149883</v>
      </c>
      <c r="E20" s="799">
        <f>IF(ISNUMBER(
   IF(J_V="SI",(Datos!L20-Datos!V20)/Datos!V20,(Datos!L20+Datos!AB20-(Datos!V20+Datos!AJ20))/(Datos!V20+Datos!AJ20))
     ),IF(J_V="SI",(Datos!L20-Datos!V20)/Datos!V20,(Datos!L20+Datos!AB20-(Datos!V20+Datos!AJ20))/(Datos!V20+Datos!AJ20))," - ")</f>
        <v>-0.10393196377291805</v>
      </c>
      <c r="F20" s="800">
        <f>IF(ISNUMBER((Datos!M20-Datos!W20)/Datos!W20),(Datos!M20-Datos!W20)/Datos!W20," - ")</f>
        <v>-3.9730134932533731E-2</v>
      </c>
      <c r="G20" s="801">
        <f>IF(ISNUMBER((Datos!N20-Datos!X20)/Datos!X20),(Datos!N20-Datos!X20)/Datos!X20," - ")</f>
        <v>-0.18760142810775723</v>
      </c>
      <c r="H20" s="802">
        <f>IF(ISNUMBER((Tasas!B20-Datos!BD20)/Datos!BD20),(Tasas!B20-Datos!BD20)/Datos!BD20," - ")</f>
        <v>0.21473907631284669</v>
      </c>
      <c r="I20" s="803">
        <f>IF(ISNUMBER((Tasas!C20-Datos!BE20)/Datos!BE20),(Tasas!C20-Datos!BE20)/Datos!BE20," - ")</f>
        <v>5.1734610964716848E-2</v>
      </c>
      <c r="J20" s="804">
        <f>IF(ISNUMBER((Tasas!D20-Datos!BF20)/Datos!BF20),(Tasas!D20-Datos!BF20)/Datos!BF20," - ")</f>
        <v>-0.24634703856948584</v>
      </c>
      <c r="K20" s="804">
        <f>IF(ISNUMBER((Tasas!E20-Datos!BG20)/Datos!BG20),(Tasas!E20-Datos!BG20)/Datos!BG20," - ")</f>
        <v>3.7789037905189761E-2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3G0e/4hQpGs4HjRO0vCfd3SHg+gTdxdT1h87+/qvwYfivxSwdhXeYkEgNjwYpmh7RAvN0TAkJCx8lCBSeSppBw==" saltValue="DCF6WrcuOCORLU92B88tr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ORIHUELA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0.9260302923564635</v>
      </c>
      <c r="C9" s="442">
        <f>IF(ISNUMBER(NºAsuntos!I9/NºAsuntos!G9),NºAsuntos!I9/NºAsuntos!G9," - ")</f>
        <v>4.7185241536705975</v>
      </c>
      <c r="D9" s="443">
        <f>IF(ISNUMBER('Resol  Asuntos'!D9/NºAsuntos!G9),'Resol  Asuntos'!D9/NºAsuntos!G9," - ")</f>
        <v>0.26397869912514266</v>
      </c>
      <c r="E9" s="444">
        <f>IF(ISNUMBER((NºAsuntos!C9+NºAsuntos!E9)/NºAsuntos!G9),(NºAsuntos!C9+NºAsuntos!E9)/NºAsuntos!G9," - ")</f>
        <v>5.7493343476607075</v>
      </c>
      <c r="G9" s="462"/>
    </row>
    <row r="10" spans="1:7" ht="21">
      <c r="A10" s="401" t="str">
        <f>Datos!A10</f>
        <v>Sección De Violencia sobre la Mujer del TI</v>
      </c>
      <c r="B10" s="441">
        <f>IF(ISNUMBER(NºAsuntos!G10/NºAsuntos!E10),NºAsuntos!G10/NºAsuntos!E10," - ")</f>
        <v>1.1276595744680851</v>
      </c>
      <c r="C10" s="442">
        <f>IF(ISNUMBER(NºAsuntos!I10/NºAsuntos!G10),NºAsuntos!I10/NºAsuntos!G10," - ")</f>
        <v>3.3773584905660377</v>
      </c>
      <c r="D10" s="443">
        <f>IF(ISNUMBER('Resol  Asuntos'!D10/NºAsuntos!G10),'Resol  Asuntos'!D10/NºAsuntos!G10," - ")</f>
        <v>0.35849056603773582</v>
      </c>
      <c r="E10" s="444">
        <f>IF(ISNUMBER((NºAsuntos!C10+NºAsuntos!E10)/NºAsuntos!G10),(NºAsuntos!C10+NºAsuntos!E10)/NºAsuntos!G10," - ")</f>
        <v>4.3773584905660377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0.92931392931392931</v>
      </c>
      <c r="C13" s="856">
        <f>IF(ISNUMBER(NºAsuntos!I13/NºAsuntos!G13),NºAsuntos!I13/NºAsuntos!G13," - ")</f>
        <v>4.6920208799403431</v>
      </c>
      <c r="D13" s="857">
        <f>IF(ISNUMBER('Resol  Asuntos'!D13/NºAsuntos!G13),'Resol  Asuntos'!D13/NºAsuntos!G13," - ")</f>
        <v>0.26584638329604771</v>
      </c>
      <c r="E13" s="858">
        <f>IF(ISNUMBER((NºAsuntos!C13+NºAsuntos!E13)/NºAsuntos!G13),(NºAsuntos!C13+NºAsuntos!E13)/NºAsuntos!G13," - ")</f>
        <v>5.7222222222222223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1.0528401585204756</v>
      </c>
      <c r="C15" s="442">
        <f>IF(ISNUMBER(NºAsuntos!I15/NºAsuntos!G15),NºAsuntos!I15/NºAsuntos!G15," - ")</f>
        <v>1.3810121288163948</v>
      </c>
      <c r="D15" s="443">
        <f>IF(ISNUMBER('Resol  Asuntos'!D15/NºAsuntos!G15),'Resol  Asuntos'!D15/NºAsuntos!G15," - ")</f>
        <v>0.20577164366373901</v>
      </c>
      <c r="E15" s="444">
        <f>IF(ISNUMBER((NºAsuntos!C15+NºAsuntos!E15)/NºAsuntos!G15),(NºAsuntos!C15+NºAsuntos!E15)/NºAsuntos!G15," - ")</f>
        <v>2.3667921371810956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0.97709923664122134</v>
      </c>
      <c r="C18" s="442">
        <f>IF(ISNUMBER(NºAsuntos!I18/NºAsuntos!G18),NºAsuntos!I18/NºAsuntos!G18," - ")</f>
        <v>0.88541666666666663</v>
      </c>
      <c r="D18" s="443">
        <f>IF(ISNUMBER('Resol  Asuntos'!D18/NºAsuntos!G18),'Resol  Asuntos'!D18/NºAsuntos!G18," - ")</f>
        <v>0.19791666666666666</v>
      </c>
      <c r="E18" s="444">
        <f>IF(ISNUMBER((NºAsuntos!C18+NºAsuntos!E18)/NºAsuntos!G18),(NºAsuntos!C18+NºAsuntos!E18)/NºAsuntos!G18," - ")</f>
        <v>1.8802083333333333</v>
      </c>
      <c r="G18" s="462"/>
    </row>
    <row r="19" spans="1:7" ht="14.25" thickTop="1" thickBot="1">
      <c r="A19" s="845" t="str">
        <f>Datos!A19</f>
        <v>TOTAL</v>
      </c>
      <c r="B19" s="855">
        <f>IF(ISNUMBER(NºAsuntos!G19/NºAsuntos!E19),NºAsuntos!G19/NºAsuntos!E19," - ")</f>
        <v>1.0416666666666667</v>
      </c>
      <c r="C19" s="856">
        <f>IF(ISNUMBER(NºAsuntos!I19/NºAsuntos!G19),NºAsuntos!I19/NºAsuntos!G19," - ")</f>
        <v>1.3124324324324323</v>
      </c>
      <c r="D19" s="859">
        <f>IF(ISNUMBER('Resol  Asuntos'!D19/NºAsuntos!G19),'Resol  Asuntos'!D19/NºAsuntos!G19," - ")</f>
        <v>0.20468468468468468</v>
      </c>
      <c r="E19" s="858">
        <f>IF(ISNUMBER((NºAsuntos!C19+NºAsuntos!E19)/NºAsuntos!G19),(NºAsuntos!C19+NºAsuntos!E19)/NºAsuntos!G19," - ")</f>
        <v>2.2994594594594595</v>
      </c>
      <c r="G19" s="462"/>
    </row>
    <row r="20" spans="1:7" ht="15.75" customHeight="1" thickTop="1" thickBot="1">
      <c r="A20" s="790" t="str">
        <f>Datos!A20</f>
        <v>TOTAL JURISDICCIONES</v>
      </c>
      <c r="B20" s="805">
        <f>IF(ISNUMBER(NºAsuntos!G20/NºAsuntos!E20),NºAsuntos!G20/NºAsuntos!E20," - ")</f>
        <v>0.98324324324324319</v>
      </c>
      <c r="C20" s="806">
        <f>IF(ISNUMBER(NºAsuntos!I20/NºAsuntos!G20),NºAsuntos!I20/NºAsuntos!G20," - ")</f>
        <v>2.9734286237859631</v>
      </c>
      <c r="D20" s="807">
        <f>IF(ISNUMBER('Resol  Asuntos'!D20/NºAsuntos!G20),'Resol  Asuntos'!D20/NºAsuntos!G20," - ")</f>
        <v>0.23474436503573393</v>
      </c>
      <c r="E20" s="808">
        <f>IF(ISNUMBER((NºAsuntos!C20+NºAsuntos!E20)/NºAsuntos!G20),(NºAsuntos!C20+NºAsuntos!E20)/NºAsuntos!G20," - ")</f>
        <v>3.9816749129558366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42W57L6ABQ7kEg+uEgtpsFI7wX/V6xYdLlocN6keShq59hxGxKetkQTaxXgxmGCF1nkiVGIx3rT9aoE/mN8+A==" saltValue="sQ18ge6PFt6OfZuI9z5oR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ORIHUELA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745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683</v>
      </c>
      <c r="Y9" s="333">
        <f>SUM(W9:X9)</f>
        <v>683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15661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694</v>
      </c>
      <c r="AJ9" s="228" t="str">
        <f>IF(ISNUMBER(Datos!BW9),Datos!BW9," - ")</f>
        <v xml:space="preserve"> - </v>
      </c>
      <c r="AK9" s="227" t="str">
        <f>IF(ISNUMBER(Datos!BX9),Datos!BX9," - ")</f>
        <v xml:space="preserve"> - </v>
      </c>
      <c r="AL9" s="242">
        <f>IF(ISNUMBER(NºAsuntos!G9/NºAsuntos!E9),NºAsuntos!G9/NºAsuntos!E9," - ")</f>
        <v>0.9260302923564635</v>
      </c>
      <c r="AM9" s="259">
        <f>IF(ISNUMBER(((NºAsuntos!I9/NºAsuntos!G9)*11)/factor_trimestre),((NºAsuntos!I9/NºAsuntos!G9)*11)/factor_trimestre," - ")</f>
        <v>14.155572461011793</v>
      </c>
      <c r="AN9" s="243">
        <f>IF(ISNUMBER('Resol  Asuntos'!D9/NºAsuntos!G9),'Resol  Asuntos'!D9/NºAsuntos!G9," - ")</f>
        <v>0.26397869912514266</v>
      </c>
      <c r="AO9" s="244">
        <f>IF(ISNUMBER((NºAsuntos!C9+NºAsuntos!E9)/NºAsuntos!G9),(NºAsuntos!C9+NºAsuntos!E9)/NºAsuntos!G9," - ")</f>
        <v>5.7493343476607075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185</v>
      </c>
      <c r="G10" s="332">
        <f>IF(ISNUMBER(Datos!I10),Datos!I10," - ")</f>
        <v>185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53</v>
      </c>
      <c r="X10" s="225">
        <f>IF(ISNUMBER(Datos!Q10),Datos!Q10," - ")</f>
        <v>3</v>
      </c>
      <c r="Y10" s="333">
        <f t="shared" ref="Y10:Y12" si="0">SUM(W10:X10)</f>
        <v>56</v>
      </c>
      <c r="Z10" s="334" t="str">
        <f>IF(ISNUMBER(Datos!CC10),Datos!CC10," - ")</f>
        <v xml:space="preserve"> - </v>
      </c>
      <c r="AA10" s="331">
        <f>IF(ISNUMBER(Datos!L10),Datos!L10,"-")</f>
        <v>179</v>
      </c>
      <c r="AB10" s="333">
        <f>IF(ISNUMBER(Datos!R10),Datos!R10," - ")</f>
        <v>155</v>
      </c>
      <c r="AC10" s="333">
        <f t="shared" ref="AC10:AC12" si="1">IF(ISNUMBER(AA10+AB10),AA10+AB10," - ")</f>
        <v>334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1.1276595744680851</v>
      </c>
      <c r="AM10" s="259">
        <f>IF(ISNUMBER(((NºAsuntos!I10/NºAsuntos!G10)*11)/factor_trimestre),((NºAsuntos!I10/NºAsuntos!G10)*11)/factor_trimestre," - ")</f>
        <v>10.132075471698114</v>
      </c>
      <c r="AN10" s="243">
        <f>IF(ISNUMBER('Resol  Asuntos'!D10/NºAsuntos!G10),'Resol  Asuntos'!D10/NºAsuntos!G10," - ")</f>
        <v>0.35849056603773582</v>
      </c>
      <c r="AO10" s="244">
        <f>IF(ISNUMBER((NºAsuntos!C10+NºAsuntos!E10)/NºAsuntos!G10),(NºAsuntos!C10+NºAsuntos!E10)/NºAsuntos!G10," - ")</f>
        <v>4.3773584905660377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185</v>
      </c>
      <c r="G13" s="863">
        <f t="shared" si="3"/>
        <v>185</v>
      </c>
      <c r="H13" s="862">
        <f t="shared" si="3"/>
        <v>0</v>
      </c>
      <c r="I13" s="864">
        <f t="shared" si="3"/>
        <v>0</v>
      </c>
      <c r="J13" s="864">
        <f t="shared" si="3"/>
        <v>0</v>
      </c>
      <c r="K13" s="864">
        <f t="shared" si="3"/>
        <v>0</v>
      </c>
      <c r="L13" s="864">
        <f t="shared" si="3"/>
        <v>757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53</v>
      </c>
      <c r="X13" s="864">
        <f t="shared" si="4"/>
        <v>686</v>
      </c>
      <c r="Y13" s="865">
        <f t="shared" si="4"/>
        <v>739</v>
      </c>
      <c r="Z13" s="865">
        <f t="shared" si="4"/>
        <v>0</v>
      </c>
      <c r="AA13" s="865">
        <f t="shared" si="4"/>
        <v>179</v>
      </c>
      <c r="AB13" s="865">
        <f t="shared" si="4"/>
        <v>15816</v>
      </c>
      <c r="AC13" s="865">
        <f t="shared" si="4"/>
        <v>334</v>
      </c>
      <c r="AD13" s="865">
        <f t="shared" si="4"/>
        <v>0</v>
      </c>
      <c r="AE13" s="869">
        <f t="shared" si="4"/>
        <v>0</v>
      </c>
      <c r="AF13" s="862">
        <f t="shared" si="4"/>
        <v>0</v>
      </c>
      <c r="AG13" s="870">
        <f t="shared" si="4"/>
        <v>0</v>
      </c>
      <c r="AH13" s="867">
        <f t="shared" si="4"/>
        <v>0</v>
      </c>
      <c r="AI13" s="862">
        <f t="shared" si="4"/>
        <v>713</v>
      </c>
      <c r="AJ13" s="864">
        <f t="shared" si="4"/>
        <v>0</v>
      </c>
      <c r="AK13" s="867">
        <f>SUBTOTAL(9,AK9:AK12)</f>
        <v>0</v>
      </c>
      <c r="AL13" s="871">
        <f>IF(ISNUMBER(NºAsuntos!G13/NºAsuntos!E13),NºAsuntos!G13/NºAsuntos!E13," - ")</f>
        <v>0.92931392931392931</v>
      </c>
      <c r="AM13" s="871">
        <f>IF(ISNUMBER(((NºAsuntos!I13/NºAsuntos!G13)*11)/factor_trimestre),((NºAsuntos!I13/NºAsuntos!G13)*11)/factor_trimestre," - ")</f>
        <v>14.07606263982103</v>
      </c>
      <c r="AN13" s="872">
        <f>IF(ISNUMBER('Resol  Asuntos'!D13/NºAsuntos!G13),'Resol  Asuntos'!D13/NºAsuntos!G13," - ")</f>
        <v>0.26584638329604771</v>
      </c>
      <c r="AO13" s="873">
        <f>IF(ISNUMBER((NºAsuntos!C13+NºAsuntos!E13)/NºAsuntos!G13),(NºAsuntos!C13+NºAsuntos!E13)/NºAsuntos!G13," - ")</f>
        <v>5.7222222222222223</v>
      </c>
      <c r="AP13" s="874" t="str">
        <f t="shared" si="2"/>
        <v xml:space="preserve"> - </v>
      </c>
      <c r="AQ13" s="874">
        <f>IF(ISNUMBER((H13-W13+K13)/(F13)),(H13-W13+K13)/(F13)," - ")</f>
        <v>-0.2864864864864865</v>
      </c>
      <c r="AR13" s="875">
        <f>IF(ISNUMBER((Datos!P13-Datos!Q13)/(Datos!R13-Datos!P13+Datos!Q13)),(Datos!P13-Datos!Q13)/(Datos!R13-Datos!P13+Datos!Q13)," - ")</f>
        <v>4.5093680533502701E-3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3422</v>
      </c>
      <c r="G15" s="332">
        <f>IF(ISNUMBER(IF(D_I="SI",Datos!I15,Datos!I15+Datos!AC15)),IF(D_I="SI",Datos!I15,Datos!I15+Datos!AC15)," - ")</f>
        <v>3388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2391</v>
      </c>
      <c r="X15" s="225">
        <f>IF(ISNUMBER(Datos!Q15),Datos!Q15," - ")</f>
        <v>173</v>
      </c>
      <c r="Y15" s="333">
        <f>SUM(W15)</f>
        <v>2391</v>
      </c>
      <c r="Z15" s="334" t="str">
        <f>IF(ISNUMBER(Datos!CC15),Datos!CC15," - ")</f>
        <v xml:space="preserve"> - </v>
      </c>
      <c r="AA15" s="331">
        <f>IF(ISNUMBER(IF(D_I="SI",Datos!L15,Datos!L15+Datos!AF15)),IF(D_I="SI",Datos!L15,Datos!L15+Datos!AF15)," - ")</f>
        <v>3302</v>
      </c>
      <c r="AB15" s="333">
        <f>IF(ISNUMBER(Datos!R15),Datos!R15," - ")</f>
        <v>339</v>
      </c>
      <c r="AC15" s="333">
        <f t="shared" ref="AC15:AC18" si="6">IF(ISNUMBER(AA15+AB15),AA15+AB15," - ")</f>
        <v>3641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492</v>
      </c>
      <c r="AJ15" s="230" t="str">
        <f>IF(ISNUMBER(Datos!BW15),Datos!BW15," - ")</f>
        <v xml:space="preserve"> - </v>
      </c>
      <c r="AK15" s="231" t="str">
        <f>IF(ISNUMBER(Datos!BX15),Datos!BX15," - ")</f>
        <v xml:space="preserve"> - </v>
      </c>
      <c r="AL15" s="242">
        <f>IF(ISNUMBER(NºAsuntos!G15/NºAsuntos!E15),NºAsuntos!G15/NºAsuntos!E15," - ")</f>
        <v>1.0528401585204756</v>
      </c>
      <c r="AM15" s="259">
        <f>IF(ISNUMBER(((NºAsuntos!I15/NºAsuntos!G15)*11)/factor_trimestre),((NºAsuntos!I15/NºAsuntos!G15)*11)/factor_trimestre," - ")</f>
        <v>4.1430363864491841</v>
      </c>
      <c r="AN15" s="243">
        <f>IF(ISNUMBER('Resol  Asuntos'!D15/NºAsuntos!G15),'Resol  Asuntos'!D15/NºAsuntos!G15," - ")</f>
        <v>0.20577164366373901</v>
      </c>
      <c r="AO15" s="244">
        <f>IF(ISNUMBER((NºAsuntos!C15+NºAsuntos!E15)/NºAsuntos!G15),(NºAsuntos!C15+NºAsuntos!E15)/NºAsuntos!G15," - ")</f>
        <v>2.3667921371810956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329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384</v>
      </c>
      <c r="X18" s="225">
        <f>IF(ISNUMBER(Datos!Q18),Datos!Q18," - ")</f>
        <v>24</v>
      </c>
      <c r="Y18" s="333">
        <f t="shared" si="9"/>
        <v>408</v>
      </c>
      <c r="Z18" s="334" t="str">
        <f>IF(ISNUMBER(Datos!CC18),Datos!CC18," - ")</f>
        <v xml:space="preserve"> - </v>
      </c>
      <c r="AA18" s="331">
        <f>IF(ISNUMBER(Datos!L18),Datos!L18,"-")</f>
        <v>340</v>
      </c>
      <c r="AB18" s="333">
        <f>IF(ISNUMBER(Datos!R18),Datos!R18," - ")</f>
        <v>14</v>
      </c>
      <c r="AC18" s="333">
        <f t="shared" si="6"/>
        <v>354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76</v>
      </c>
      <c r="AJ18" s="230" t="str">
        <f>IF(ISNUMBER(Datos!BW18),Datos!BW18," - ")</f>
        <v xml:space="preserve"> - </v>
      </c>
      <c r="AK18" s="231" t="str">
        <f>IF(ISNUMBER(Datos!BX18),Datos!BX18," - ")</f>
        <v xml:space="preserve"> - </v>
      </c>
      <c r="AL18" s="242">
        <f>IF(ISNUMBER(NºAsuntos!G18/NºAsuntos!E18),NºAsuntos!G18/NºAsuntos!E18," - ")</f>
        <v>0.97709923664122134</v>
      </c>
      <c r="AM18" s="259">
        <f>IF(ISNUMBER(((NºAsuntos!I18/NºAsuntos!G18)*11)/factor_trimestre),((NºAsuntos!I18/NºAsuntos!G18)*11)/factor_trimestre," - ")</f>
        <v>2.65625</v>
      </c>
      <c r="AN18" s="243">
        <f>IF(ISNUMBER('Resol  Asuntos'!D18/NºAsuntos!G18),'Resol  Asuntos'!D18/NºAsuntos!G18," - ")</f>
        <v>0.19791666666666666</v>
      </c>
      <c r="AO18" s="244">
        <f>IF(ISNUMBER((NºAsuntos!C18+NºAsuntos!E18)/NºAsuntos!G18),(NºAsuntos!C18+NºAsuntos!E18)/NºAsuntos!G18," - ")</f>
        <v>1.8802083333333333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3422</v>
      </c>
      <c r="G19" s="863">
        <f>SUBTOTAL(9,G15:G18)</f>
        <v>3717</v>
      </c>
      <c r="H19" s="862">
        <f t="shared" ref="H19:O19" si="12">SUBTOTAL(9,H14:H18)</f>
        <v>0</v>
      </c>
      <c r="I19" s="864">
        <f t="shared" si="12"/>
        <v>0</v>
      </c>
      <c r="J19" s="864">
        <f t="shared" si="12"/>
        <v>0</v>
      </c>
      <c r="K19" s="864">
        <f t="shared" si="12"/>
        <v>0</v>
      </c>
      <c r="L19" s="864">
        <f t="shared" si="12"/>
        <v>152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2775</v>
      </c>
      <c r="X19" s="864">
        <f t="shared" si="13"/>
        <v>197</v>
      </c>
      <c r="Y19" s="865">
        <f t="shared" si="13"/>
        <v>2799</v>
      </c>
      <c r="Z19" s="865">
        <f t="shared" si="13"/>
        <v>0</v>
      </c>
      <c r="AA19" s="865">
        <f t="shared" si="13"/>
        <v>3642</v>
      </c>
      <c r="AB19" s="865">
        <f t="shared" si="13"/>
        <v>353</v>
      </c>
      <c r="AC19" s="865">
        <f t="shared" si="13"/>
        <v>3995</v>
      </c>
      <c r="AD19" s="865">
        <f t="shared" si="13"/>
        <v>0</v>
      </c>
      <c r="AE19" s="869">
        <f t="shared" si="13"/>
        <v>0</v>
      </c>
      <c r="AF19" s="862">
        <f t="shared" si="13"/>
        <v>0</v>
      </c>
      <c r="AG19" s="870">
        <f t="shared" si="13"/>
        <v>0</v>
      </c>
      <c r="AH19" s="867">
        <f t="shared" si="13"/>
        <v>0</v>
      </c>
      <c r="AI19" s="862">
        <f t="shared" si="13"/>
        <v>568</v>
      </c>
      <c r="AJ19" s="864">
        <f t="shared" si="13"/>
        <v>0</v>
      </c>
      <c r="AK19" s="867">
        <f t="shared" si="13"/>
        <v>0</v>
      </c>
      <c r="AL19" s="871">
        <f>IF(ISNUMBER(NºAsuntos!G19/NºAsuntos!E19),NºAsuntos!G19/NºAsuntos!E19," - ")</f>
        <v>1.0416666666666667</v>
      </c>
      <c r="AM19" s="871">
        <f>IF(ISNUMBER(((NºAsuntos!I19/NºAsuntos!G19)*11)/factor_trimestre),((NºAsuntos!I19/NºAsuntos!G19)*11)/factor_trimestre," - ")</f>
        <v>3.937297297297297</v>
      </c>
      <c r="AN19" s="872">
        <f>IF(ISNUMBER('Resol  Asuntos'!D19/NºAsuntos!G19),'Resol  Asuntos'!D19/NºAsuntos!G19," - ")</f>
        <v>0.20468468468468468</v>
      </c>
      <c r="AO19" s="873">
        <f>IF(ISNUMBER((NºAsuntos!C19+NºAsuntos!E19)/NºAsuntos!G19),(NºAsuntos!C19+NºAsuntos!E19)/NºAsuntos!G19," - ")</f>
        <v>2.2994594594594595</v>
      </c>
      <c r="AP19" s="874" t="str">
        <f t="shared" si="2"/>
        <v xml:space="preserve"> - </v>
      </c>
      <c r="AQ19" s="874">
        <f>IF(ISNUMBER((H19-W19+K19)/(F19)),(H19-W19+K19)/(F19)," - ")</f>
        <v>-0.81092928112215079</v>
      </c>
      <c r="AR19" s="875">
        <f>IF(ISNUMBER((Datos!P19-Datos!Q19)/(Datos!R19-Datos!P19+Datos!Q19)),(Datos!P19-Datos!Q19)/(Datos!R19-Datos!P19+Datos!Q19)," - ")</f>
        <v>-0.11306532663316583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11</v>
      </c>
      <c r="F20" s="817">
        <f t="shared" si="15"/>
        <v>3607</v>
      </c>
      <c r="G20" s="818">
        <f t="shared" si="15"/>
        <v>3902</v>
      </c>
      <c r="H20" s="817">
        <f t="shared" si="15"/>
        <v>0</v>
      </c>
      <c r="I20" s="819">
        <f t="shared" si="15"/>
        <v>0</v>
      </c>
      <c r="J20" s="819">
        <f t="shared" si="15"/>
        <v>0</v>
      </c>
      <c r="K20" s="878">
        <f t="shared" si="15"/>
        <v>0</v>
      </c>
      <c r="L20" s="819">
        <f t="shared" si="15"/>
        <v>909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2828</v>
      </c>
      <c r="X20" s="818">
        <f t="shared" si="16"/>
        <v>883</v>
      </c>
      <c r="Y20" s="825">
        <f t="shared" si="16"/>
        <v>3538</v>
      </c>
      <c r="Z20" s="825">
        <f t="shared" si="16"/>
        <v>0</v>
      </c>
      <c r="AA20" s="825">
        <f t="shared" si="16"/>
        <v>3821</v>
      </c>
      <c r="AB20" s="825">
        <f t="shared" si="16"/>
        <v>16169</v>
      </c>
      <c r="AC20" s="825">
        <f t="shared" si="16"/>
        <v>4329</v>
      </c>
      <c r="AD20" s="825">
        <f t="shared" si="16"/>
        <v>0</v>
      </c>
      <c r="AE20" s="827">
        <f t="shared" si="16"/>
        <v>0</v>
      </c>
      <c r="AF20" s="828">
        <f t="shared" si="16"/>
        <v>0</v>
      </c>
      <c r="AG20" s="829">
        <f t="shared" si="16"/>
        <v>0</v>
      </c>
      <c r="AH20" s="827">
        <f t="shared" si="16"/>
        <v>0</v>
      </c>
      <c r="AI20" s="817">
        <f t="shared" si="16"/>
        <v>1281</v>
      </c>
      <c r="AJ20" s="817">
        <f t="shared" si="16"/>
        <v>0</v>
      </c>
      <c r="AK20" s="827">
        <f t="shared" si="16"/>
        <v>0</v>
      </c>
      <c r="AL20" s="881">
        <f>IF(ISNUMBER(NºAsuntos!G20/NºAsuntos!E20),NºAsuntos!G20/NºAsuntos!E20," - ")</f>
        <v>0.98324324324324319</v>
      </c>
      <c r="AM20" s="882">
        <f>IF(ISNUMBER(((NºAsuntos!I20/NºAsuntos!G20)*11)/factor_trimestre),((NºAsuntos!I20/NºAsuntos!G20)*11)/factor_trimestre," - ")</f>
        <v>8.9202858713578888</v>
      </c>
      <c r="AN20" s="882">
        <f>IF(ISNUMBER('Resol  Asuntos'!D20/NºAsuntos!G20),'Resol  Asuntos'!D20/NºAsuntos!G20," - ")</f>
        <v>0.23474436503573393</v>
      </c>
      <c r="AO20" s="883">
        <f>IF(ISNUMBER((NºAsuntos!C20+NºAsuntos!E20)/NºAsuntos!G20),(NºAsuntos!C20+NºAsuntos!E20)/NºAsuntos!G20," - ")</f>
        <v>3.9816749129558366</v>
      </c>
      <c r="AP20" s="884" t="str">
        <f t="shared" si="2"/>
        <v xml:space="preserve"> - </v>
      </c>
      <c r="AQ20" s="885">
        <f>IF(OR(ISNUMBER(FIND("01",Criterios!A8,1)),ISNUMBER(FIND("02",Criterios!A8,1)),ISNUMBER(FIND("03",Criterios!A8,1)),ISNUMBER(FIND("04",Criterios!A8,1))),(I20-W20+K20)/(F20-K20),(H20-W20+K20)/(F20-K20))</f>
        <v>-0.7840310507346826</v>
      </c>
      <c r="AR20" s="886">
        <f>IF(ISNUMBER((Datos!P20-Datos!Q20)/(Datos!R20-Datos!P20+Datos!Q20)),(Datos!P20-Datos!Q20)/(Datos!R20-Datos!P20+Datos!Q20)," - ")</f>
        <v>1.6106052158830454E-3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1560.8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2.6583202716502514</v>
      </c>
      <c r="F22" s="251">
        <f>IF(ISNUMBER(STDEV(F8:F19)),STDEV(F8:F19),"-")</f>
        <v>1868.8828213668187</v>
      </c>
      <c r="G22" s="252">
        <f>IF(ISNUMBER(STDEV(G8:G19)),STDEV(G8:G19),"-")</f>
        <v>1822.8302718574762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1339.0773689372843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305.56701392656896</v>
      </c>
      <c r="AJ22" s="251">
        <f t="shared" si="20"/>
        <v>0</v>
      </c>
      <c r="AK22" s="253">
        <f t="shared" si="20"/>
        <v>0</v>
      </c>
      <c r="AL22" s="248">
        <f t="shared" si="20"/>
        <v>7.9146199133098977E-2</v>
      </c>
      <c r="AM22" s="249">
        <f t="shared" si="20"/>
        <v>5.2742955244667309</v>
      </c>
      <c r="AN22" s="249">
        <f t="shared" si="20"/>
        <v>6.1542158258799974E-2</v>
      </c>
      <c r="AO22" s="250">
        <f t="shared" si="20"/>
        <v>1.7772003450781022</v>
      </c>
      <c r="AP22" s="290" t="str">
        <f t="shared" si="20"/>
        <v>-</v>
      </c>
      <c r="AQ22" s="291">
        <f t="shared" si="20"/>
        <v>0.37083705643130216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ndvKvF6C1iG8D9UnfDkvsOsVsom00UCPnGjnmwz2R1J/OpgDDz1B5dSu6jO5Pk0WHP6cTNWHDg42MAx7fW5MQ==" saltValue="2waLIqoXjomcm1pPYgWg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ORIHUELA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-0.1056701030927835</v>
      </c>
      <c r="I9" s="349">
        <f>IF(ISNUMBER((Tasas!C9-Datos!BE9)/Datos!BE9),(Tasas!C9-Datos!BE9)/Datos!BE9," - ")</f>
        <v>0.22732368357118754</v>
      </c>
      <c r="J9" s="348">
        <f>IF(ISNUMBER((Tasas!D9-Datos!BF9)/Datos!BF9),(Tasas!D9-Datos!BF9)/Datos!BF9," - ")</f>
        <v>-0.315712836297038</v>
      </c>
      <c r="K9" s="350">
        <f>IF(ISNUMBER((Tasas!E9-Datos!BG9)/Datos!BG9),(Tasas!E9-Datos!BG9)/Datos!BG9," - ")</f>
        <v>0.18067536496147177</v>
      </c>
      <c r="M9" t="e">
        <f>IF(Monitorios="SI",Datos!CE9,0)</f>
        <v>#REF!</v>
      </c>
      <c r="N9" t="e">
        <f>IF(Monitorios="SI",Datos!CF9,0)</f>
        <v>#REF!</v>
      </c>
      <c r="O9" t="e">
        <f>IF(Monitorios="SI",Datos!CG9,0)</f>
        <v>#REF!</v>
      </c>
      <c r="P9" t="e">
        <f>IF(Monitorios="SI",Datos!CH9,0)</f>
        <v>#REF!</v>
      </c>
      <c r="Q9">
        <f>IF(J_V="SI",0,Datos!AG9)</f>
        <v>277</v>
      </c>
      <c r="R9">
        <f>IF(J_V="SI",0,Datos!AH9)</f>
        <v>234</v>
      </c>
      <c r="S9">
        <f>IF(J_V="SI",0,Datos!AI9)</f>
        <v>219</v>
      </c>
      <c r="T9">
        <f>IF(J_V="SI",0,Datos!AJ9)</f>
        <v>273</v>
      </c>
    </row>
    <row r="10" spans="2:20" ht="14.25">
      <c r="B10" s="274" t="s">
        <v>247</v>
      </c>
      <c r="C10" s="7" t="str">
        <f>Datos!A10</f>
        <v>Sección De Violencia sobre la Mujer del TI</v>
      </c>
      <c r="D10" s="351">
        <f>IF(ISNUMBER((Datos!I10-Datos!S10)/Datos!S10),(Datos!I10-Datos!S10)/Datos!S10," - ")</f>
        <v>-5.128205128205128E-2</v>
      </c>
      <c r="E10" s="347">
        <f>IF(ISNUMBER((Datos!J10-Datos!T10)/Datos!T10),(Datos!J10-Datos!T10)/Datos!T10," - ")</f>
        <v>-0.18965517241379309</v>
      </c>
      <c r="F10" s="347">
        <f>IF(ISNUMBER((Datos!K10-Datos!U10)/Datos!U10),(Datos!K10-Datos!U10)/Datos!U10," - ")</f>
        <v>1.9230769230769232E-2</v>
      </c>
      <c r="G10" s="348">
        <f>IF(ISNUMBER((Datos!L10-Datos!V10)/Datos!V10),(Datos!L10-Datos!V10)/Datos!V10," - ")</f>
        <v>-0.10945273631840796</v>
      </c>
      <c r="H10" s="229">
        <f>IF(ISNUMBER((Datos!M10-Datos!W10)/Datos!W10),(Datos!M10-Datos!W10)/Datos!W10," - ")</f>
        <v>-0.26923076923076922</v>
      </c>
      <c r="I10" s="349">
        <f>IF(ISNUMBER((Tasas!C10-Datos!BE10)/Datos!BE10),(Tasas!C10-Datos!BE10)/Datos!BE10," - ")</f>
        <v>-0.12625551487843803</v>
      </c>
      <c r="J10" s="348">
        <f>IF(ISNUMBER((Tasas!D10-Datos!BF10)/Datos!BF10),(Tasas!D10-Datos!BF10)/Datos!BF10," - ")</f>
        <v>-0.28301886792452835</v>
      </c>
      <c r="K10" s="350">
        <f>IF(ISNUMBER((Tasas!E10-Datos!BG10)/Datos!BG10),(Tasas!E10-Datos!BG10)/Datos!BG10," - ")</f>
        <v>-0.10030576478484594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-0.11097256857855362</v>
      </c>
      <c r="I13" s="356">
        <f>IF(ISNUMBER((Tasas!C13-Datos!BE13)/Datos!BE13),(Tasas!C13-Datos!BE13)/Datos!BE13," - ")</f>
        <v>0.22033899349501973</v>
      </c>
      <c r="J13" s="354">
        <f>IF(ISNUMBER((Tasas!D13-Datos!BF13)/Datos!BF13),(Tasas!D13-Datos!BF13)/Datos!BF13," - ")</f>
        <v>-0.31366931667178932</v>
      </c>
      <c r="K13" s="357">
        <f>IF(ISNUMBER((Tasas!E13-Datos!BG13)/Datos!BG13),(Tasas!E13-Datos!BG13)/Datos!BG13," - ")</f>
        <v>0.17512142960707563</v>
      </c>
      <c r="M13" t="e">
        <f>IF(Monitorios="SI",Datos!CE13,0)</f>
        <v>#REF!</v>
      </c>
      <c r="N13" t="e">
        <f>IF(Monitorios="SI",Datos!CF13,0)</f>
        <v>#REF!</v>
      </c>
      <c r="O13" t="e">
        <f>IF(Monitorios="SI",Datos!CG13,0)</f>
        <v>#REF!</v>
      </c>
      <c r="P13" t="e">
        <f>IF(Monitorios="SI",Datos!CH13,0)</f>
        <v>#REF!</v>
      </c>
      <c r="Q13">
        <f>IF(J_V="SI",0,Datos!AG13)</f>
        <v>277</v>
      </c>
      <c r="R13">
        <f>IF(J_V="SI",0,Datos!AH13)</f>
        <v>234</v>
      </c>
      <c r="S13">
        <f>IF(J_V="SI",0,Datos!AI13)</f>
        <v>219</v>
      </c>
      <c r="T13">
        <f>IF(J_V="SI",0,Datos!AJ13)</f>
        <v>273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4.447079750963534E-3</v>
      </c>
      <c r="E15" s="347">
        <f>IF(ISNUMBER(
   IF(D_I="SI",(Datos!J15-Datos!T15)/Datos!T15,(Datos!J15+Datos!AD15-(Datos!T15+Datos!AL15))/(Datos!T15+Datos!AL15))
     ),IF(D_I="SI",(Datos!J15-Datos!T15)/Datos!T15,(Datos!J15+Datos!AD15-(Datos!T15+Datos!AL15))/(Datos!T15+Datos!AL15))," - ")</f>
        <v>4.2699724517906337E-2</v>
      </c>
      <c r="F15" s="347">
        <f>IF(ISNUMBER(
   IF(D_I="SI",(Datos!K15-Datos!U15)/Datos!U15,(Datos!K15+Datos!AE15-(Datos!U15+Datos!AM15))/(Datos!U15+Datos!AM15))
     ),IF(D_I="SI",(Datos!K15-Datos!U15)/Datos!U15,(Datos!K15+Datos!AE15-(Datos!U15+Datos!AM15))/(Datos!U15+Datos!AM15))," - ")</f>
        <v>6.2666666666666662E-2</v>
      </c>
      <c r="G15" s="348">
        <f>IF(ISNUMBER(
   IF(D_I="SI",(Datos!L15-Datos!V15)/Datos!V15,(Datos!L15+Datos!AF15-(Datos!V15+Datos!AN15))/(Datos!V15+Datos!AN15))
     ),IF(D_I="SI",(Datos!L15-Datos!V15)/Datos!V15,(Datos!L15+Datos!AF15-(Datos!V15+Datos!AN15))/(Datos!V15+Datos!AN15))," - ")</f>
        <v>-9.3009300930093006E-3</v>
      </c>
      <c r="H15" s="229">
        <f>IF(ISNUMBER((Datos!M15-Datos!W15)/Datos!W15),(Datos!M15-Datos!W15)/Datos!W15," - ")</f>
        <v>1.443298969072165E-2</v>
      </c>
      <c r="I15" s="349">
        <f>IF(ISNUMBER((Tasas!C15-Datos!BE15)/Datos!BE15),(Tasas!C15-Datos!BE15)/Datos!BE15," - ")</f>
        <v>-6.7723585407474293E-2</v>
      </c>
      <c r="J15" s="348">
        <f>IF(ISNUMBER((Tasas!D15-Datos!BF15)/Datos!BF15),(Tasas!D15-Datos!BF15)/Datos!BF15," - ")</f>
        <v>-4.5389281972344792E-2</v>
      </c>
      <c r="K15" s="350">
        <f>IF(ISNUMBER((Tasas!E15-Datos!BG15)/Datos!BG15),(Tasas!E15-Datos!BG15)/Datos!BG15," - ")</f>
        <v>-4.0662527714382043E-2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4.1139240506329111E-2</v>
      </c>
      <c r="E18" s="347">
        <f>IF(ISNUMBER(
   IF(D_I="SI",(Datos!J18-Datos!T18)/Datos!T18,(Datos!J18+Datos!AD18-(Datos!T18+Datos!AL18))/(Datos!T18+Datos!AL18))
     ),IF(D_I="SI",(Datos!J18-Datos!T18)/Datos!T18,(Datos!J18+Datos!AD18-(Datos!T18+Datos!AL18))/(Datos!T18+Datos!AL18))," - ")</f>
        <v>0.24761904761904763</v>
      </c>
      <c r="F18" s="347">
        <f>IF(ISNUMBER(
   IF(D_I="SI",(Datos!K18-Datos!U18)/Datos!U18,(Datos!K18+Datos!AE18-(Datos!U18+Datos!AM18))/(Datos!U18+Datos!AM18))
     ),IF(D_I="SI",(Datos!K18-Datos!U18)/Datos!U18,(Datos!K18+Datos!AE18-(Datos!U18+Datos!AM18))/(Datos!U18+Datos!AM18))," - ")</f>
        <v>1.5873015873015872E-2</v>
      </c>
      <c r="G18" s="348">
        <f>IF(ISNUMBER(
   IF(D_I="SI",(Datos!L18-Datos!V18)/Datos!V18,(Datos!L18+Datos!AF18-(Datos!V18+Datos!AN18))/(Datos!V18+Datos!AN18))
     ),IF(D_I="SI",(Datos!L18-Datos!V18)/Datos!V18,(Datos!L18+Datos!AF18-(Datos!V18+Datos!AN18))/(Datos!V18+Datos!AN18))," - ")</f>
        <v>0.34387351778656128</v>
      </c>
      <c r="H18" s="229">
        <f>IF(ISNUMBER((Datos!M18-Datos!W18)/Datos!W18),(Datos!M18-Datos!W18)/Datos!W18," - ")</f>
        <v>0.61702127659574468</v>
      </c>
      <c r="I18" s="349">
        <f>IF(ISNUMBER((Tasas!C18-Datos!BE18)/Datos!BE18),(Tasas!C18-Datos!BE18)/Datos!BE18," - ")</f>
        <v>0.32287549407114619</v>
      </c>
      <c r="J18" s="348">
        <f>IF(ISNUMBER((Tasas!D18-Datos!BF18)/Datos!BF18),(Tasas!D18-Datos!BF18)/Datos!BF18," - ")</f>
        <v>0.5917553191489362</v>
      </c>
      <c r="K18" s="350">
        <f>IF(ISNUMBER((Tasas!E18-Datos!BG18)/Datos!BG18),(Tasas!E18-Datos!BG18)/Datos!BG18," - ")</f>
        <v>0.12633716323296351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7.5901328273244783E-3</v>
      </c>
      <c r="E19" s="353">
        <f>IF(ISNUMBER(
   IF(D_I="SI",(Datos!J19-Datos!T19)/Datos!T19,(Datos!J19+Datos!AD19-(Datos!T19+Datos!AL19))/(Datos!T19+Datos!AL19))
     ),IF(D_I="SI",(Datos!J19-Datos!T19)/Datos!T19,(Datos!J19+Datos!AD19-(Datos!T19+Datos!AL19))/(Datos!T19+Datos!AL19))," - ")</f>
        <v>6.8592057761732855E-2</v>
      </c>
      <c r="F19" s="353">
        <f>IF(ISNUMBER(
   IF(D_I="SI",(Datos!K19-Datos!U19)/Datos!U19,(Datos!K19+Datos!AE19-(Datos!U19+Datos!AM19))/(Datos!U19+Datos!AM19))
     ),IF(D_I="SI",(Datos!K19-Datos!U19)/Datos!U19,(Datos!K19+Datos!AE19-(Datos!U19+Datos!AM19))/(Datos!U19+Datos!AM19))," - ")</f>
        <v>5.5936073059360727E-2</v>
      </c>
      <c r="G19" s="354">
        <f>IF(ISNUMBER(
   IF(D_I="SI",(Datos!L19-Datos!V19)/Datos!V19,(Datos!L19+Datos!AF19-(Datos!V19+Datos!AN19))/(Datos!V19+Datos!AN19))
     ),IF(D_I="SI",(Datos!L19-Datos!V19)/Datos!V19,(Datos!L19+Datos!AF19-(Datos!V19+Datos!AN19))/(Datos!V19+Datos!AN19))," - ")</f>
        <v>1.5616285554935862E-2</v>
      </c>
      <c r="H19" s="355">
        <f>IF(ISNUMBER((Datos!M19-Datos!W19)/Datos!W19),(Datos!M19-Datos!W19)/Datos!W19," - ")</f>
        <v>6.7669172932330823E-2</v>
      </c>
      <c r="I19" s="356">
        <f>IF(ISNUMBER((Tasas!C19-Datos!BE19)/Datos!BE19),(Tasas!C19-Datos!BE19)/Datos!BE19," - ")</f>
        <v>-3.8183928490676984E-2</v>
      </c>
      <c r="J19" s="354">
        <f>IF(ISNUMBER((Tasas!D19-Datos!BF19)/Datos!BF19),(Tasas!D19-Datos!BF19)/Datos!BF19," - ")</f>
        <v>1.1111562690510071E-2</v>
      </c>
      <c r="K19" s="357">
        <f>IF(ISNUMBER((Tasas!E19-Datos!BG19)/Datos!BG19),(Tasas!E19-Datos!BG19)/Datos!BG19," - ")</f>
        <v>-2.2487955441692055E-2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-2.8989856551227416E-2</v>
      </c>
      <c r="E20" s="362">
        <f>IF(ISNUMBER(
   IF(J_V="SI",(Datos!J20-Datos!T20)/Datos!T20,(Datos!J20+Datos!Z20-(Datos!T20+Datos!AH20))/(Datos!T20+Datos!AH20))
     ),IF(J_V="SI",(Datos!J20-Datos!T20)/Datos!T20,(Datos!J20+Datos!Z20-(Datos!T20+Datos!AH20))/(Datos!T20+Datos!AH20))," - ")</f>
        <v>-0.2986225199039555</v>
      </c>
      <c r="F20" s="362">
        <f>IF(ISNUMBER(
   IF(J_V="SI",(Datos!K20-Datos!U20)/Datos!U20,(Datos!K20+Datos!AA20-(Datos!U20+Datos!AI20))/(Datos!U20+Datos!AI20))
     ),IF(J_V="SI",(Datos!K20-Datos!U20)/Datos!U20,(Datos!K20+Datos!AA20-(Datos!U20+Datos!AI20))/(Datos!U20+Datos!AI20))," - ")</f>
        <v>-0.14800936768149883</v>
      </c>
      <c r="G20" s="363">
        <f>IF(ISNUMBER(
   IF(J_V="SI",(Datos!L20-Datos!V20)/Datos!V20,(Datos!L20+Datos!AB20-(Datos!V20+Datos!AJ20))/(Datos!V20+Datos!AJ20))
     ),IF(J_V="SI",(Datos!L20-Datos!V20)/Datos!V20,(Datos!L20+Datos!AB20-(Datos!V20+Datos!AJ20))/(Datos!V20+Datos!AJ20))," - ")</f>
        <v>-0.10393196377291805</v>
      </c>
      <c r="H20" s="364">
        <f>IF(ISNUMBER((Datos!M20-Datos!W20)/Datos!W20),(Datos!M20-Datos!W20)/Datos!W20," - ")</f>
        <v>-3.9730134932533731E-2</v>
      </c>
      <c r="I20" s="361">
        <f>IF(ISNUMBER((Tasas!C20-Datos!BE20)/Datos!BE20),(Tasas!C20-Datos!BE20)/Datos!BE20," - ")</f>
        <v>5.1734610964716848E-2</v>
      </c>
      <c r="J20" s="362">
        <f>IF(ISNUMBER((Tasas!D20-Datos!BF20)/Datos!BF20),(Tasas!D20-Datos!BF20)/Datos!BF20," - ")</f>
        <v>-0.24634703856948584</v>
      </c>
      <c r="K20" s="363">
        <f>IF(ISNUMBER((Tasas!E20-Datos!BG20)/Datos!BG20),(Tasas!E20-Datos!BG20)/Datos!BG20," - ")</f>
        <v>3.7789037905189761E-2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3.8291754283104669E-2</v>
      </c>
      <c r="E22" s="277">
        <f t="shared" si="1"/>
        <v>0.17949052401292462</v>
      </c>
      <c r="F22" s="277">
        <f t="shared" si="1"/>
        <v>2.4298878950210327E-2</v>
      </c>
      <c r="G22" s="278">
        <f t="shared" si="1"/>
        <v>0.19669841678028765</v>
      </c>
      <c r="H22" s="284">
        <f t="shared" si="1"/>
        <v>0.30786026453465609</v>
      </c>
      <c r="I22" s="276">
        <f t="shared" si="1"/>
        <v>0.18875958234702001</v>
      </c>
      <c r="J22" s="277">
        <f t="shared" si="1"/>
        <v>0.34914914306381128</v>
      </c>
      <c r="K22" s="278">
        <f t="shared" si="1"/>
        <v>0.12212015671527575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ak/fkm9Jq2HfP7gIO/Hm0o7OfgrWy0SSyuXEvNzc4sWnksR8Ocopq18XV+TppM4yqnn2dWU7YcbopTotiLD4A==" saltValue="qzSjGkslgKd8o1ZtyJXC0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